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/>
  <mc:AlternateContent xmlns:mc="http://schemas.openxmlformats.org/markup-compatibility/2006">
    <mc:Choice Requires="x15">
      <x15ac:absPath xmlns:x15ac="http://schemas.microsoft.com/office/spreadsheetml/2010/11/ac" url="/Users/xavier/Dropbox/A - XMSL Consultants/TCO-Scan/"/>
    </mc:Choice>
  </mc:AlternateContent>
  <xr:revisionPtr revIDLastSave="0" documentId="13_ncr:1_{CD7E86A5-181B-974E-9F8E-56B7B750210C}" xr6:coauthVersionLast="47" xr6:coauthVersionMax="47" xr10:uidLastSave="{00000000-0000-0000-0000-000000000000}"/>
  <bookViews>
    <workbookView xWindow="3960" yWindow="600" windowWidth="22280" windowHeight="14440" xr2:uid="{00000000-000D-0000-FFFF-FFFF00000000}"/>
  </bookViews>
  <sheets>
    <sheet name="Avantage en nature" sheetId="1" r:id="rId1"/>
  </sheets>
  <definedNames>
    <definedName name="AbatDepReel">'Avantage en nature'!$X$9</definedName>
    <definedName name="AbatDepReelPour100">'Avantage en nature'!$Y$9</definedName>
    <definedName name="AbatForfait">'Avantage en nature'!$X$8</definedName>
    <definedName name="AbatForfaitPour100">'Avantage en nature'!$Y$8</definedName>
    <definedName name="Age">'Avantage en nature'!$B$8</definedName>
    <definedName name="AnneeDebut">'Avantage en nature'!$H$5</definedName>
    <definedName name="Calcul">'Avantage en nature'!$G$10</definedName>
    <definedName name="CarbuPerso">'Avantage en nature'!$W$11</definedName>
    <definedName name="Carburant">'Avantage en nature'!$B$18</definedName>
    <definedName name="CarbuTot">'Avantage en nature'!$W$12</definedName>
    <definedName name="ConsoElec">'Avantage en nature'!$B$33</definedName>
    <definedName name="ConsoTherm">'Avantage en nature'!$B$27</definedName>
    <definedName name="DateDebut">'Avantage en nature'!$E$5</definedName>
    <definedName name="DateFin">'Avantage en nature'!$W$6</definedName>
    <definedName name="Ddd">'Avantage en nature'!$W$13</definedName>
    <definedName name="DepReelles">'Avantage en nature'!$E$29</definedName>
    <definedName name="DureeUtilisation">'Avantage en nature'!$E$8</definedName>
    <definedName name="Entretien">'Avantage en nature'!$B$15</definedName>
    <definedName name="Forfait">'Avantage en nature'!$W$24</definedName>
    <definedName name="Forfait2024">'Avantage en nature'!$X$19</definedName>
    <definedName name="Forfait2025">'Avantage en nature'!$X$14</definedName>
    <definedName name="ForfaitCabu2024">'Avantage en nature'!$X$19</definedName>
    <definedName name="ForfaitCarbu">'Avantage en nature'!$W$25</definedName>
    <definedName name="ForfaitCarbu2024">'Avantage en nature'!$X$20</definedName>
    <definedName name="ForfaitCarbu2025">'Avantage en nature'!$X$15</definedName>
    <definedName name="ForfaitCarbuPlus52024">'Avantage en nature'!$Y$20</definedName>
    <definedName name="ForfaitCarbuPlus52025">'Avantage en nature'!$Y$15</definedName>
    <definedName name="ForfaitDepReel">'Avantage en nature'!$W$26</definedName>
    <definedName name="ForfaitDepReel2024">'Avantage en nature'!$X$21</definedName>
    <definedName name="ForfaitDepReel2025">'Avantage en nature'!$X$16</definedName>
    <definedName name="ForfaitDepReelPlus52024">'Avantage en nature'!$Y$21</definedName>
    <definedName name="ForfaitDepReelPlus52025">'Avantage en nature'!$Y$16</definedName>
    <definedName name="ForfaitIntegral">'Avantage en nature'!$E$17</definedName>
    <definedName name="ForfaitLoc">'Avantage en nature'!$W$27</definedName>
    <definedName name="ForfaitLoc2024">'Avantage en nature'!$X$22</definedName>
    <definedName name="ForfaitLoc2025">'Avantage en nature'!$X$17</definedName>
    <definedName name="ForfaitLocCarbu">'Avantage en nature'!$W$28</definedName>
    <definedName name="ForfaitLocCarbu2024">'Avantage en nature'!$X$23</definedName>
    <definedName name="ForfaitLocCarbu2025">'Avantage en nature'!$X$18</definedName>
    <definedName name="ForfaitMixte">'Avantage en nature'!$E$23</definedName>
    <definedName name="ForfaitPlus52024">'Avantage en nature'!$Y$19</definedName>
    <definedName name="ForfaitPlus52025">'Avantage en nature'!$Y$14</definedName>
    <definedName name="KmPerso">'Avantage en nature'!$C$25</definedName>
    <definedName name="KmPro">'Avantage en nature'!$B$25</definedName>
    <definedName name="Location">'Avantage en nature'!$B$13</definedName>
    <definedName name="MarjCarbu">'Avantage en nature'!$W$10</definedName>
    <definedName name="Mode">'Avantage en nature'!$B$11</definedName>
    <definedName name="MoisDebut">'Avantage en nature'!$E$5</definedName>
    <definedName name="Motorisation">'Avantage en nature'!$B$21</definedName>
    <definedName name="NbJourMoisDebut">'Avantage en nature'!$W$13</definedName>
    <definedName name="PourQui">'Avantage en nature'!$Z$27</definedName>
    <definedName name="Prix">'Avantage en nature'!$B$5</definedName>
    <definedName name="PrixElec">'Avantage en nature'!$B$35</definedName>
    <definedName name="PrixElecHT">'Avantage en nature'!$Y$13</definedName>
    <definedName name="PrixTherm">'Avantage en nature'!$B$29</definedName>
    <definedName name="PrixThermHT">'Avantage en nature'!$Y$12</definedName>
    <definedName name="TauxChargesPatronales">'Avantage en nature'!$G$14</definedName>
    <definedName name="TauxChargesSalariales">'Avantage en nature'!$G$12</definedName>
    <definedName name="TauxMarginalImposition">'Avantage en nature'!$K$12</definedName>
    <definedName name="TauxUtilisateur">'Avantage en nature'!$Z$28</definedName>
    <definedName name="UtilTherm">'Avantage en nature'!$B$31</definedName>
    <definedName name="_xlnm.Print_Area" localSheetId="0">'Avantage en nature'!$B$4:$T$66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6" i="1"/>
  <c r="W12" i="1"/>
  <c r="W11" i="1"/>
  <c r="F21" i="1"/>
  <c r="H33" i="1"/>
  <c r="I33" i="1" s="1"/>
  <c r="J33" i="1" s="1"/>
  <c r="B12" i="1"/>
  <c r="B34" i="1"/>
  <c r="B32" i="1"/>
  <c r="B30" i="1"/>
  <c r="C24" i="1"/>
  <c r="B24" i="1"/>
  <c r="B23" i="1"/>
  <c r="E12" i="1"/>
  <c r="M30" i="1"/>
  <c r="G30" i="1"/>
  <c r="M24" i="1"/>
  <c r="G24" i="1"/>
  <c r="M18" i="1"/>
  <c r="G18" i="1"/>
  <c r="H35" i="1"/>
  <c r="Z27" i="1" l="1"/>
  <c r="G20" i="1" s="1"/>
  <c r="H20" i="1" s="1"/>
  <c r="Z28" i="1"/>
  <c r="H12" i="1"/>
  <c r="E14" i="1"/>
  <c r="E27" i="1"/>
  <c r="E26" i="1"/>
  <c r="F26" i="1"/>
  <c r="I19" i="1"/>
  <c r="I31" i="1"/>
  <c r="H31" i="1"/>
  <c r="G31" i="1"/>
  <c r="H19" i="1"/>
  <c r="G19" i="1"/>
  <c r="F34" i="1"/>
  <c r="I35" i="1"/>
  <c r="J35" i="1" s="1"/>
  <c r="W26" i="1"/>
  <c r="F32" i="1" s="1"/>
  <c r="W25" i="1"/>
  <c r="W24" i="1"/>
  <c r="W27" i="1"/>
  <c r="F27" i="1" s="1"/>
  <c r="W28" i="1"/>
  <c r="M19" i="1"/>
  <c r="M31" i="1" s="1"/>
  <c r="W13" i="1"/>
  <c r="W6" i="1"/>
  <c r="G21" i="1" l="1"/>
  <c r="H21" i="1" s="1"/>
  <c r="G32" i="1"/>
  <c r="H32" i="1" s="1"/>
  <c r="M25" i="1"/>
  <c r="F20" i="1"/>
  <c r="M36" i="1"/>
  <c r="N19" i="1"/>
  <c r="I32" i="1" l="1"/>
  <c r="J32" i="1" s="1"/>
  <c r="I20" i="1"/>
  <c r="N36" i="1"/>
  <c r="N25" i="1"/>
  <c r="N31" i="1"/>
  <c r="O19" i="1"/>
  <c r="J20" i="1" l="1"/>
  <c r="M20" i="1" s="1"/>
  <c r="O36" i="1"/>
  <c r="O25" i="1"/>
  <c r="O31" i="1"/>
  <c r="P19" i="1"/>
  <c r="N20" i="1" l="1"/>
  <c r="P36" i="1"/>
  <c r="P25" i="1"/>
  <c r="P31" i="1"/>
  <c r="Q19" i="1"/>
  <c r="Q36" i="1" l="1"/>
  <c r="Q25" i="1"/>
  <c r="Q31" i="1"/>
  <c r="R19" i="1"/>
  <c r="R36" i="1" l="1"/>
  <c r="R25" i="1"/>
  <c r="R31" i="1"/>
  <c r="S19" i="1"/>
  <c r="S36" i="1" l="1"/>
  <c r="S25" i="1"/>
  <c r="S31" i="1"/>
  <c r="T19" i="1"/>
  <c r="E34" i="1"/>
  <c r="E32" i="1"/>
  <c r="T36" i="1" l="1"/>
  <c r="T31" i="1"/>
  <c r="T25" i="1"/>
  <c r="B14" i="1" l="1"/>
  <c r="Y13" i="1" l="1"/>
  <c r="Y12" i="1"/>
  <c r="G27" i="1" l="1"/>
  <c r="G26" i="1"/>
  <c r="G34" i="1"/>
  <c r="Q20" i="1"/>
  <c r="R20" i="1"/>
  <c r="S20" i="1"/>
  <c r="T20" i="1"/>
  <c r="H34" i="1" l="1"/>
  <c r="I34" i="1" s="1"/>
  <c r="J34" i="1" s="1"/>
  <c r="J27" i="1"/>
  <c r="S27" i="1"/>
  <c r="Q27" i="1"/>
  <c r="T27" i="1"/>
  <c r="P27" i="1"/>
  <c r="R27" i="1"/>
  <c r="I21" i="1"/>
  <c r="J21" i="1" s="1"/>
  <c r="T26" i="1"/>
  <c r="R26" i="1"/>
  <c r="S26" i="1"/>
  <c r="Q26" i="1"/>
  <c r="P26" i="1"/>
  <c r="J26" i="1"/>
  <c r="P32" i="1"/>
  <c r="Q32" i="1"/>
  <c r="R32" i="1"/>
  <c r="S32" i="1"/>
  <c r="T32" i="1"/>
  <c r="P34" i="1"/>
  <c r="Q34" i="1"/>
  <c r="R34" i="1"/>
  <c r="S34" i="1"/>
  <c r="T34" i="1"/>
  <c r="Q21" i="1"/>
  <c r="R21" i="1"/>
  <c r="S21" i="1"/>
  <c r="T21" i="1"/>
  <c r="M26" i="1" l="1"/>
  <c r="O27" i="1"/>
  <c r="N27" i="1"/>
  <c r="M27" i="1"/>
  <c r="K27" i="1" s="1"/>
  <c r="P21" i="1"/>
  <c r="N26" i="1"/>
  <c r="O26" i="1"/>
  <c r="E21" i="1"/>
  <c r="G25" i="1"/>
  <c r="W5" i="1"/>
  <c r="W4" i="1"/>
  <c r="O32" i="1" l="1"/>
  <c r="M32" i="1"/>
  <c r="N32" i="1"/>
  <c r="P20" i="1"/>
  <c r="K26" i="1"/>
  <c r="O20" i="1"/>
  <c r="M34" i="1"/>
  <c r="N34" i="1"/>
  <c r="O34" i="1"/>
  <c r="K32" i="1" l="1"/>
  <c r="K34" i="1"/>
  <c r="M21" i="1"/>
  <c r="N21" i="1"/>
  <c r="O21" i="1"/>
  <c r="K20" i="1"/>
  <c r="K2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<sst xmlns="http://schemas.openxmlformats.org/spreadsheetml/2006/main" count="73" uniqueCount="60">
  <si>
    <t>Age du véhicule</t>
  </si>
  <si>
    <t>Mode d'acquisition</t>
  </si>
  <si>
    <t>Prise en charge du carburant privé</t>
  </si>
  <si>
    <t>Motorisation</t>
  </si>
  <si>
    <t>Forfait intégral</t>
  </si>
  <si>
    <t>Dépenses réelles</t>
  </si>
  <si>
    <t>Achat</t>
  </si>
  <si>
    <t>%</t>
  </si>
  <si>
    <t>Oui</t>
  </si>
  <si>
    <t>Non</t>
  </si>
  <si>
    <t>Achat / Crédit</t>
  </si>
  <si>
    <t>Location</t>
  </si>
  <si>
    <t>Thermique</t>
  </si>
  <si>
    <t>- de 5 ans</t>
  </si>
  <si>
    <t>soit Mensuel</t>
  </si>
  <si>
    <t>Abattement forfait</t>
  </si>
  <si>
    <t>Abattement Dép. réelles</t>
  </si>
  <si>
    <t>Electrique éco-scorée</t>
  </si>
  <si>
    <t>Hybride rechargeable</t>
  </si>
  <si>
    <t>Majoration</t>
  </si>
  <si>
    <t>Carburant Peronnel</t>
  </si>
  <si>
    <t>Carburant Total</t>
  </si>
  <si>
    <t>TVA</t>
  </si>
  <si>
    <t>Prix Carb HT</t>
  </si>
  <si>
    <t>Prix kWh HT</t>
  </si>
  <si>
    <t>Forfait</t>
  </si>
  <si>
    <t>Forfait Dep Reelles</t>
  </si>
  <si>
    <t>Forfait Loc</t>
  </si>
  <si>
    <t>Forfait Loc Carbu</t>
  </si>
  <si>
    <t>Forfait Carbu</t>
  </si>
  <si>
    <t>Forfait mixte (Forfait sans carburant + Carburant privé sur factures)</t>
  </si>
  <si>
    <t>Durée d'utilisation (mois)</t>
  </si>
  <si>
    <t>Date de DEBUT de mise à disposition du véhicule</t>
  </si>
  <si>
    <t>Date fin</t>
  </si>
  <si>
    <t>Total</t>
  </si>
  <si>
    <t>Avantages en nature véhicule (AEN)</t>
  </si>
  <si>
    <t>Cet outil vous est offert par TCO-Scan.com</t>
  </si>
  <si>
    <t>Pour calculer le TCO complet, rendez-vous sur notre site</t>
  </si>
  <si>
    <t>Commentaires :</t>
  </si>
  <si>
    <t>Forfait Carbu 2024</t>
  </si>
  <si>
    <t>Forfait Dep Reelles 2024</t>
  </si>
  <si>
    <t>Forfait Loc 2024</t>
  </si>
  <si>
    <t>Forfait Loc Carbu 2024</t>
  </si>
  <si>
    <t>Forfait 2024</t>
  </si>
  <si>
    <t>NbJourMoisDebut</t>
  </si>
  <si>
    <t>SAISISSEZ LES INFORMATIONS DANS LES CHAMPS JAUNES</t>
  </si>
  <si>
    <t>Forfait Carbu 2025</t>
  </si>
  <si>
    <t>Forfait Dep Reelles 2025</t>
  </si>
  <si>
    <t>Forfait Loc 2025</t>
  </si>
  <si>
    <t>Forfait Loc Carbu 2025</t>
  </si>
  <si>
    <t>Forfait 2025</t>
  </si>
  <si>
    <t>Electrique</t>
  </si>
  <si>
    <t>Montant des AEN</t>
  </si>
  <si>
    <t>Coût pour l'utilisateur</t>
  </si>
  <si>
    <t>Coût pour l'entreprise</t>
  </si>
  <si>
    <t>PourQui</t>
  </si>
  <si>
    <t>TauxUtilisateur</t>
  </si>
  <si>
    <t>Que voulez-vous calculer ?</t>
  </si>
  <si>
    <t>Coût d'achat remisé TTC (€)</t>
  </si>
  <si>
    <t>MAJ : 05/06/2025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</si>
</sst>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€&quot;_ ;_ * \(#,##0.00\)\ &quot;€&quot;_ ;_ * &quot;-&quot;??_)\ &quot;€&quot;_ ;_ @_ "/>
    <numFmt numFmtId="164" formatCode="#,##0.00\ &quot;€&quot;"/>
    <numFmt numFmtId="165" formatCode="#,###.#0_ &quot;  l/100km&quot;"/>
    <numFmt numFmtId="166" formatCode="#,##0_ &quot;km&quot;"/>
    <numFmt numFmtId="167" formatCode="#,###.#0_ &quot;  kWh/100km&quot;"/>
    <numFmt numFmtId="168" formatCode="yyyy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(Corps)"/>
    </font>
    <font>
      <sz val="11"/>
      <color theme="1"/>
      <name val="Calibri (Corps)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1" fillId="9" borderId="0" xfId="0" applyFont="1" applyFill="1"/>
    <xf numFmtId="166" fontId="5" fillId="3" borderId="5" xfId="0" applyNumberFormat="1" applyFont="1" applyFill="1" applyBorder="1" applyAlignment="1" applyProtection="1">
      <alignment horizontal="center" vertical="center"/>
      <protection locked="0"/>
    </xf>
    <xf numFmtId="166" fontId="5" fillId="3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8" fontId="7" fillId="5" borderId="8" xfId="0" applyNumberFormat="1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168" fontId="7" fillId="9" borderId="13" xfId="0" applyNumberFormat="1" applyFont="1" applyFill="1" applyBorder="1" applyAlignment="1">
      <alignment horizontal="center" vertical="center"/>
    </xf>
    <xf numFmtId="9" fontId="0" fillId="3" borderId="8" xfId="2" applyFont="1" applyFill="1" applyBorder="1" applyAlignment="1">
      <alignment horizontal="center" vertical="center"/>
    </xf>
    <xf numFmtId="9" fontId="0" fillId="8" borderId="8" xfId="2" applyFont="1" applyFill="1" applyBorder="1" applyAlignment="1">
      <alignment horizontal="center" vertical="center"/>
    </xf>
    <xf numFmtId="168" fontId="8" fillId="4" borderId="8" xfId="0" applyNumberFormat="1" applyFont="1" applyFill="1" applyBorder="1" applyAlignment="1">
      <alignment horizontal="center" vertical="center"/>
    </xf>
    <xf numFmtId="0" fontId="9" fillId="4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5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6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9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2" fillId="0" borderId="1" xfId="0" applyFont="1" applyBorder="1"/>
    <xf numFmtId="0" fontId="14" fillId="0" borderId="0" xfId="0" applyFont="1"/>
    <xf numFmtId="0" fontId="11" fillId="2" borderId="9" xfId="0" applyFont="1" applyFill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0" xfId="0" applyFill="1" applyBorder="1"/>
    <xf numFmtId="164" fontId="0" fillId="0" borderId="0" xfId="0" applyNumberFormat="1"/>
    <xf numFmtId="164" fontId="0" fillId="0" borderId="6" xfId="0" applyNumberFormat="1" applyBorder="1"/>
    <xf numFmtId="0" fontId="1" fillId="0" borderId="0" xfId="1" applyNumberFormat="1" applyFont="1" applyFill="1"/>
    <xf numFmtId="0" fontId="0" fillId="3" borderId="11" xfId="0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3" borderId="12" xfId="0" applyFill="1" applyBorder="1"/>
    <xf numFmtId="0" fontId="0" fillId="3" borderId="4" xfId="0" applyFill="1" applyBorder="1"/>
    <xf numFmtId="9" fontId="16" fillId="3" borderId="0" xfId="2" applyFont="1" applyFill="1" applyBorder="1" applyAlignment="1" applyProtection="1">
      <alignment horizontal="left" vertical="center"/>
      <protection locked="0"/>
    </xf>
    <xf numFmtId="9" fontId="16" fillId="3" borderId="6" xfId="2" applyFont="1" applyFill="1" applyBorder="1" applyAlignment="1" applyProtection="1">
      <alignment horizontal="left" vertical="center"/>
      <protection locked="0"/>
    </xf>
    <xf numFmtId="9" fontId="16" fillId="3" borderId="12" xfId="2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/>
    <xf numFmtId="0" fontId="5" fillId="3" borderId="0" xfId="0" applyFont="1" applyFill="1"/>
    <xf numFmtId="0" fontId="12" fillId="3" borderId="1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14" fontId="1" fillId="9" borderId="0" xfId="0" applyNumberFormat="1" applyFont="1" applyFill="1"/>
    <xf numFmtId="9" fontId="1" fillId="9" borderId="0" xfId="0" applyNumberFormat="1" applyFont="1" applyFill="1"/>
    <xf numFmtId="164" fontId="1" fillId="9" borderId="0" xfId="0" applyNumberFormat="1" applyFont="1" applyFill="1"/>
    <xf numFmtId="0" fontId="1" fillId="0" borderId="0" xfId="0" applyFont="1"/>
    <xf numFmtId="164" fontId="1" fillId="3" borderId="8" xfId="0" applyNumberFormat="1" applyFont="1" applyFill="1" applyBorder="1" applyAlignment="1">
      <alignment horizontal="center" vertical="center"/>
    </xf>
    <xf numFmtId="44" fontId="18" fillId="3" borderId="8" xfId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44" fontId="18" fillId="8" borderId="8" xfId="1" applyFont="1" applyFill="1" applyBorder="1" applyAlignment="1">
      <alignment horizontal="center" vertical="center"/>
    </xf>
    <xf numFmtId="44" fontId="1" fillId="9" borderId="13" xfId="1" applyFont="1" applyFill="1" applyBorder="1" applyAlignment="1">
      <alignment horizontal="center" vertical="center"/>
    </xf>
    <xf numFmtId="44" fontId="1" fillId="8" borderId="8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3" borderId="8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  <protection locked="0"/>
    </xf>
    <xf numFmtId="16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3" borderId="6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164" fontId="5" fillId="3" borderId="5" xfId="1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17" fillId="9" borderId="0" xfId="3" applyFill="1" applyAlignment="1" applyProtection="1">
      <alignment horizontal="center"/>
      <protection locked="0"/>
    </xf>
    <xf numFmtId="0" fontId="12" fillId="3" borderId="0" xfId="0" applyFont="1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9" fontId="5" fillId="3" borderId="5" xfId="2" applyFont="1" applyFill="1" applyBorder="1" applyAlignment="1" applyProtection="1">
      <alignment horizontal="center" vertical="center"/>
      <protection locked="0"/>
    </xf>
    <xf numFmtId="9" fontId="5" fillId="3" borderId="6" xfId="2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 applyProtection="1">
      <alignment horizontal="center" vertical="center"/>
      <protection locked="0"/>
    </xf>
    <xf numFmtId="165" fontId="5" fillId="3" borderId="5" xfId="0" applyNumberFormat="1" applyFont="1" applyFill="1" applyBorder="1" applyAlignment="1" applyProtection="1">
      <alignment horizontal="center" vertical="center"/>
      <protection locked="0"/>
    </xf>
    <xf numFmtId="165" fontId="5" fillId="3" borderId="6" xfId="0" applyNumberFormat="1" applyFont="1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>
      <alignment horizontal="center" wrapText="1"/>
    </xf>
    <xf numFmtId="44" fontId="1" fillId="7" borderId="8" xfId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44" fontId="18" fillId="7" borderId="8" xfId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7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9" fontId="0" fillId="7" borderId="8" xfId="2" applyFont="1" applyFill="1" applyBorder="1" applyAlignment="1">
      <alignment horizontal="center" vertical="center" wrapText="1"/>
    </xf>
    <xf numFmtId="167" fontId="5" fillId="3" borderId="5" xfId="0" applyNumberFormat="1" applyFont="1" applyFill="1" applyBorder="1" applyAlignment="1" applyProtection="1">
      <alignment horizontal="center" vertical="center"/>
      <protection locked="0"/>
    </xf>
    <xf numFmtId="167" fontId="5" fillId="3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0" fillId="7" borderId="8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left" vertic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10"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co-sc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2:AA66"/>
  <sheetViews>
    <sheetView showGridLines="0" showRowColHeaders="0" tabSelected="1" zoomScale="81" zoomScaleNormal="81" workbookViewId="0">
      <pane xSplit="12" topLeftCell="O1" activePane="topRight" state="frozen"/>
      <selection pane="topRight" activeCell="B8" sqref="B8:C8"/>
    </sheetView>
  </sheetViews>
  <sheetFormatPr baseColWidth="10" defaultColWidth="8.83203125" defaultRowHeight="15" x14ac:dyDescent="0.2"/>
  <cols>
    <col min="1" max="1" width="2.1640625" customWidth="1"/>
    <col min="2" max="2" width="24.6640625" customWidth="1"/>
    <col min="3" max="3" width="24.6640625" style="1" customWidth="1"/>
    <col min="4" max="4" width="2.83203125" customWidth="1"/>
    <col min="5" max="5" width="11.83203125" customWidth="1"/>
    <col min="6" max="6" width="27.1640625" customWidth="1"/>
    <col min="7" max="7" width="12.1640625" bestFit="1" customWidth="1"/>
    <col min="8" max="8" width="13.33203125" customWidth="1"/>
    <col min="9" max="9" width="10.6640625" bestFit="1" customWidth="1"/>
    <col min="10" max="10" width="12.6640625" customWidth="1"/>
    <col min="11" max="11" width="23.83203125" customWidth="1"/>
    <col min="12" max="12" width="3.83203125" customWidth="1"/>
    <col min="13" max="13" width="16.1640625" customWidth="1"/>
    <col min="14" max="20" width="12.6640625" customWidth="1"/>
    <col min="23" max="23" width="21.6640625" customWidth="1"/>
    <col min="24" max="24" width="12.5" customWidth="1"/>
    <col min="25" max="26" width="9" bestFit="1" customWidth="1"/>
  </cols>
  <sheetData>
    <row r="2" spans="2:27" ht="19" x14ac:dyDescent="0.25">
      <c r="B2" s="37" t="s">
        <v>45</v>
      </c>
      <c r="C2" s="38"/>
      <c r="D2" s="39"/>
      <c r="E2" s="40"/>
      <c r="F2" s="36" t="s">
        <v>59</v>
      </c>
    </row>
    <row r="3" spans="2:27" x14ac:dyDescent="0.2">
      <c r="U3" s="61"/>
      <c r="V3" s="61"/>
      <c r="W3" s="61"/>
      <c r="X3" s="61"/>
      <c r="Y3" s="61"/>
      <c r="Z3" s="61"/>
      <c r="AA3" s="61"/>
    </row>
    <row r="4" spans="2:27" ht="15" customHeight="1" x14ac:dyDescent="0.2">
      <c r="B4" s="73" t="s">
        <v>58</v>
      </c>
      <c r="C4" s="74"/>
      <c r="E4" s="117" t="s">
        <v>32</v>
      </c>
      <c r="F4" s="118"/>
      <c r="G4" s="118"/>
      <c r="H4" s="118"/>
      <c r="I4" s="118"/>
      <c r="J4" s="119"/>
      <c r="L4" s="25"/>
      <c r="M4" s="126" t="s">
        <v>35</v>
      </c>
      <c r="N4" s="126"/>
      <c r="O4" s="126"/>
      <c r="P4" s="126"/>
      <c r="Q4" s="126"/>
      <c r="R4" s="126"/>
      <c r="S4" s="126"/>
      <c r="T4" s="25"/>
      <c r="U4" s="11"/>
      <c r="V4" s="11" t="s">
        <v>8</v>
      </c>
      <c r="W4" s="11" t="str">
        <f>"- de 5 ans"</f>
        <v>- de 5 ans</v>
      </c>
      <c r="X4" s="11" t="s">
        <v>10</v>
      </c>
      <c r="Y4" s="11" t="s">
        <v>12</v>
      </c>
      <c r="Z4" s="11"/>
      <c r="AA4" s="61"/>
    </row>
    <row r="5" spans="2:27" ht="15" customHeight="1" x14ac:dyDescent="0.2">
      <c r="B5" s="79">
        <v>20000</v>
      </c>
      <c r="C5" s="80"/>
      <c r="E5" s="120">
        <v>45915</v>
      </c>
      <c r="F5" s="121"/>
      <c r="G5" s="121"/>
      <c r="H5" s="121"/>
      <c r="I5" s="121"/>
      <c r="J5" s="122"/>
      <c r="L5" s="25"/>
      <c r="M5" s="126"/>
      <c r="N5" s="126"/>
      <c r="O5" s="126"/>
      <c r="P5" s="126"/>
      <c r="Q5" s="126"/>
      <c r="R5" s="126"/>
      <c r="S5" s="126"/>
      <c r="T5" s="25"/>
      <c r="U5" s="11"/>
      <c r="V5" s="11" t="s">
        <v>9</v>
      </c>
      <c r="W5" s="11" t="str">
        <f>"+ de 5 ans"</f>
        <v>+ de 5 ans</v>
      </c>
      <c r="X5" s="11" t="s">
        <v>11</v>
      </c>
      <c r="Y5" s="11" t="s">
        <v>18</v>
      </c>
      <c r="Z5" s="11"/>
      <c r="AA5" s="61"/>
    </row>
    <row r="6" spans="2:27" x14ac:dyDescent="0.2">
      <c r="B6" s="2"/>
      <c r="C6" s="2"/>
      <c r="U6" s="11"/>
      <c r="V6" s="11" t="s">
        <v>33</v>
      </c>
      <c r="W6" s="58">
        <f>DATE(YEAR(DateDebut), MONTH(DateDebut) + DureeUtilisation, DAY(DateDebut)-1)</f>
        <v>46644</v>
      </c>
      <c r="X6" s="11"/>
      <c r="Y6" s="11" t="s">
        <v>51</v>
      </c>
      <c r="Z6" s="11"/>
      <c r="AA6" s="61"/>
    </row>
    <row r="7" spans="2:27" ht="21" x14ac:dyDescent="0.25">
      <c r="B7" s="73" t="s">
        <v>0</v>
      </c>
      <c r="C7" s="74"/>
      <c r="E7" s="117" t="s">
        <v>31</v>
      </c>
      <c r="F7" s="118"/>
      <c r="G7" s="118"/>
      <c r="H7" s="118"/>
      <c r="I7" s="118"/>
      <c r="J7" s="119"/>
      <c r="M7" s="97" t="s">
        <v>36</v>
      </c>
      <c r="N7" s="97"/>
      <c r="O7" s="97"/>
      <c r="P7" s="97"/>
      <c r="Q7" s="97"/>
      <c r="R7" s="97"/>
      <c r="S7" s="97"/>
      <c r="U7" s="11"/>
      <c r="V7" s="11"/>
      <c r="W7" s="58"/>
      <c r="X7" s="11"/>
      <c r="Y7" s="59" t="s">
        <v>17</v>
      </c>
      <c r="Z7" s="11"/>
      <c r="AA7" s="61"/>
    </row>
    <row r="8" spans="2:27" x14ac:dyDescent="0.2">
      <c r="B8" s="77" t="s">
        <v>13</v>
      </c>
      <c r="C8" s="78"/>
      <c r="E8" s="123">
        <v>24</v>
      </c>
      <c r="F8" s="124"/>
      <c r="G8" s="124"/>
      <c r="H8" s="124"/>
      <c r="I8" s="124"/>
      <c r="J8" s="125"/>
      <c r="N8" s="11"/>
      <c r="O8" s="96" t="e" vm="1">
        <v>#VALUE!</v>
      </c>
      <c r="P8" s="96"/>
      <c r="Q8" s="96"/>
      <c r="R8" s="11"/>
      <c r="U8" s="11"/>
      <c r="V8" s="11" t="s">
        <v>15</v>
      </c>
      <c r="W8" s="11"/>
      <c r="X8" s="60">
        <v>4582</v>
      </c>
      <c r="Y8" s="59">
        <v>0.7</v>
      </c>
      <c r="Z8" s="11"/>
      <c r="AA8" s="61"/>
    </row>
    <row r="9" spans="2:27" x14ac:dyDescent="0.2">
      <c r="B9" s="2"/>
      <c r="C9" s="2"/>
      <c r="N9" s="11"/>
      <c r="O9" s="96"/>
      <c r="P9" s="96"/>
      <c r="Q9" s="96"/>
      <c r="R9" s="11"/>
      <c r="U9" s="11"/>
      <c r="V9" s="11" t="s">
        <v>16</v>
      </c>
      <c r="W9" s="11"/>
      <c r="X9" s="60">
        <v>2000.3</v>
      </c>
      <c r="Y9" s="59">
        <v>0.5</v>
      </c>
      <c r="Z9" s="11"/>
      <c r="AA9" s="61"/>
    </row>
    <row r="10" spans="2:27" ht="21" x14ac:dyDescent="0.2">
      <c r="B10" s="73" t="s">
        <v>1</v>
      </c>
      <c r="C10" s="74"/>
      <c r="E10" s="56" t="s">
        <v>57</v>
      </c>
      <c r="F10" s="57"/>
      <c r="G10" s="89" t="s">
        <v>54</v>
      </c>
      <c r="H10" s="89"/>
      <c r="I10" s="44"/>
      <c r="J10" s="44"/>
      <c r="K10" s="45"/>
      <c r="N10" s="11"/>
      <c r="O10" s="96"/>
      <c r="P10" s="96"/>
      <c r="Q10" s="96"/>
      <c r="R10" s="11"/>
      <c r="U10" s="11"/>
      <c r="V10" s="11" t="s">
        <v>19</v>
      </c>
      <c r="W10" s="59">
        <v>0.15</v>
      </c>
      <c r="X10" s="11"/>
      <c r="Y10" s="11"/>
      <c r="Z10" s="11"/>
      <c r="AA10" s="61"/>
    </row>
    <row r="11" spans="2:27" x14ac:dyDescent="0.2">
      <c r="B11" s="83" t="s">
        <v>10</v>
      </c>
      <c r="C11" s="84"/>
      <c r="E11" s="54"/>
      <c r="F11" s="55"/>
      <c r="G11" s="47"/>
      <c r="H11" s="47"/>
      <c r="I11" s="47"/>
      <c r="J11" s="47"/>
      <c r="K11" s="48"/>
      <c r="N11" s="11"/>
      <c r="O11" s="96"/>
      <c r="P11" s="96"/>
      <c r="Q11" s="96"/>
      <c r="R11" s="11"/>
      <c r="U11" s="11"/>
      <c r="V11" s="11" t="s">
        <v>20</v>
      </c>
      <c r="W11" s="60">
        <f>IF(
AND(Motorisation&lt;&gt;"Electrique éco-scorée",Motorisation&lt;&gt;"Electrique",Carburant="Oui"),
              IF(Motorisation="Thermique",
                        KmPerso*ConsoTherm*PrixTherm*(1+MarjCarbu)/100,
                       (
                            (KmPerso*ConsoTherm*PrixTherm*(1+MarjCarbu)/100)*UtilTherm
                       )
                       +
                      (
                            (KmPerso*ConsoElec*PrixElec*(1+MarjCarbu)/100)
                           *(1-UtilTherm)
                       )
                  ),0)</f>
        <v>0</v>
      </c>
      <c r="X11" s="11" t="s">
        <v>22</v>
      </c>
      <c r="Y11" s="59">
        <v>0.2</v>
      </c>
      <c r="Z11" s="11"/>
      <c r="AA11" s="61"/>
    </row>
    <row r="12" spans="2:27" ht="21" x14ac:dyDescent="0.2">
      <c r="B12" s="85" t="str">
        <f>IF(Mode="Location","Coût global annuel de la location (loyers mensuels X 12)","")</f>
        <v/>
      </c>
      <c r="C12" s="86"/>
      <c r="E12" s="90" t="str">
        <f>IF(Calcul="Coût pour l'utilisateur","Taux de charges salariales","")</f>
        <v/>
      </c>
      <c r="F12" s="91"/>
      <c r="G12" s="51">
        <v>0.25</v>
      </c>
      <c r="H12" s="91" t="str">
        <f>IF(Calcul="Coût pour l'utilisateur","Taux marginal d'imposition","")</f>
        <v/>
      </c>
      <c r="I12" s="91"/>
      <c r="J12" s="91"/>
      <c r="K12" s="52">
        <v>0.11</v>
      </c>
      <c r="N12" s="11"/>
      <c r="O12" s="96"/>
      <c r="P12" s="96"/>
      <c r="Q12" s="96"/>
      <c r="R12" s="11"/>
      <c r="U12" s="11"/>
      <c r="V12" s="11" t="s">
        <v>21</v>
      </c>
      <c r="W12" s="60">
        <f>IF(
          AND(Motorisation&lt;&gt;"Electrique éco-scorée",Motorisation&lt;&gt;"Electrique",Carburant="Oui"),
                 IF(Motorisation="Thermique",
                      (
                         (KmPro*ConsoTherm*PrixThermHT)
                        +(KmPerso*ConsoTherm*PrixTherm)
                      )
                     *
                     (1+MarjCarbu)/100,
                     (
                          (
                               (KmPro*UtilTherm*ConsoTherm*PrixThermHT)
                               +
                               (
                                     (1-UtilTherm)
                                    *
                                    ConsoElec*PrixElecHT*KmPro
                                )
                           )
                           +
                            (
                                    (KmPerso*UtilTherm*ConsoTherm*PrixTherm)
                                   +
                                    ((1-UtilTherm)*ConsoElec*PrixElec*KmPerso)
                            )
                     )
                     *(1+MarjCarbu)/100
                      ),0)</f>
        <v>0</v>
      </c>
      <c r="X12" s="11" t="s">
        <v>23</v>
      </c>
      <c r="Y12" s="60">
        <f>B29-(80%*(PrixTherm-(PrixTherm/(1+Y11))))</f>
        <v>1.5166666666666668</v>
      </c>
      <c r="Z12" s="11"/>
      <c r="AA12" s="61"/>
    </row>
    <row r="13" spans="2:27" x14ac:dyDescent="0.2">
      <c r="B13" s="87">
        <v>3600</v>
      </c>
      <c r="C13" s="88"/>
      <c r="E13" s="46"/>
      <c r="F13" s="47"/>
      <c r="G13" s="47"/>
      <c r="H13" s="47"/>
      <c r="I13" s="47"/>
      <c r="J13" s="47"/>
      <c r="K13" s="48"/>
      <c r="N13" s="11"/>
      <c r="O13" s="96"/>
      <c r="P13" s="96"/>
      <c r="Q13" s="96"/>
      <c r="R13" s="11"/>
      <c r="U13" s="11"/>
      <c r="V13" s="11" t="s">
        <v>44</v>
      </c>
      <c r="W13" s="11">
        <f>IF(OR(DAY(EOMONTH(DateDebut,0))=31,DAY(EOMONTH(DateDebut,0))=29,DAY(EOMONTH(DateDebut,0))=28),30,DAY(EOMONTH(DateDebut,0)))</f>
        <v>30</v>
      </c>
      <c r="X13" s="11" t="s">
        <v>24</v>
      </c>
      <c r="Y13" s="60">
        <f>PrixElec/(1+$Y$11)</f>
        <v>0.16666666666666669</v>
      </c>
      <c r="Z13" s="11"/>
      <c r="AA13" s="61"/>
    </row>
    <row r="14" spans="2:27" ht="30" customHeight="1" x14ac:dyDescent="0.2">
      <c r="B14" s="81" t="str">
        <f>IF(OR(Mode="Location",DepReelles),"Coût annuel de l'entretien + assurance"&amp;IF(Mode="Location"," (si non compris dans les loyers)",""),"")</f>
        <v>Coût annuel de l'entretien + assurance</v>
      </c>
      <c r="C14" s="82"/>
      <c r="E14" s="92" t="str">
        <f>IF(Calcul="Coût pour l'entreprise","Taux de charges patronales","")</f>
        <v>Taux de charges patronales</v>
      </c>
      <c r="F14" s="93"/>
      <c r="G14" s="53">
        <v>0.4</v>
      </c>
      <c r="H14" s="49"/>
      <c r="I14" s="49"/>
      <c r="J14" s="49"/>
      <c r="K14" s="50"/>
      <c r="N14" s="11"/>
      <c r="O14" s="96"/>
      <c r="P14" s="96"/>
      <c r="Q14" s="96"/>
      <c r="R14" s="11"/>
      <c r="U14" s="11"/>
      <c r="V14" s="11"/>
      <c r="W14" s="11" t="s">
        <v>50</v>
      </c>
      <c r="X14" s="59">
        <v>0.15</v>
      </c>
      <c r="Y14" s="59">
        <v>0.1</v>
      </c>
      <c r="Z14" s="11"/>
      <c r="AA14" s="61"/>
    </row>
    <row r="15" spans="2:27" ht="21" x14ac:dyDescent="0.25">
      <c r="B15" s="71"/>
      <c r="C15" s="72"/>
      <c r="M15" s="97" t="s">
        <v>37</v>
      </c>
      <c r="N15" s="97"/>
      <c r="O15" s="97"/>
      <c r="P15" s="97"/>
      <c r="Q15" s="97"/>
      <c r="R15" s="97"/>
      <c r="S15" s="97"/>
      <c r="U15" s="11"/>
      <c r="V15" s="11"/>
      <c r="W15" s="11" t="s">
        <v>46</v>
      </c>
      <c r="X15" s="59">
        <v>0.2</v>
      </c>
      <c r="Y15" s="59">
        <v>0.15</v>
      </c>
      <c r="Z15" s="11"/>
      <c r="AA15" s="61"/>
    </row>
    <row r="16" spans="2:27" x14ac:dyDescent="0.2">
      <c r="B16" s="2"/>
      <c r="C16" s="2"/>
      <c r="F16" s="1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1"/>
      <c r="V16" s="11"/>
      <c r="W16" s="11" t="s">
        <v>47</v>
      </c>
      <c r="X16" s="59">
        <v>0.2</v>
      </c>
      <c r="Y16" s="59">
        <v>0.1</v>
      </c>
      <c r="Z16" s="11"/>
      <c r="AA16" s="61"/>
    </row>
    <row r="17" spans="2:27" ht="21" x14ac:dyDescent="0.25">
      <c r="B17" s="75" t="s">
        <v>2</v>
      </c>
      <c r="C17" s="76"/>
      <c r="E17" s="21" t="b">
        <v>0</v>
      </c>
      <c r="F17" s="94" t="s">
        <v>4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11"/>
      <c r="V17" s="11"/>
      <c r="W17" s="11" t="s">
        <v>48</v>
      </c>
      <c r="X17" s="59">
        <v>0.5</v>
      </c>
      <c r="Y17" s="11"/>
      <c r="Z17" s="11"/>
      <c r="AA17" s="61"/>
    </row>
    <row r="18" spans="2:27" x14ac:dyDescent="0.2">
      <c r="B18" s="77" t="s">
        <v>8</v>
      </c>
      <c r="C18" s="78"/>
      <c r="E18" s="127" t="s">
        <v>1</v>
      </c>
      <c r="F18" s="98" t="s">
        <v>7</v>
      </c>
      <c r="G18" s="98" t="str">
        <f>"Montants "&amp;IF(Calcul="Coût pour l'entreprise","des charges patronales ",IF(Calcul="Coût pour l'utilisateur",IF(TauxMarginalImposition=0,"des charges salariales ","des charges salariales + impôts ")&amp;"pour l'utilisateur ",""))&amp;"(€)"</f>
        <v>Montants des charges patronales (€)</v>
      </c>
      <c r="H18" s="98"/>
      <c r="I18" s="98"/>
      <c r="J18" s="98"/>
      <c r="K18" s="98"/>
      <c r="L18" s="16"/>
      <c r="M18" s="98" t="str">
        <f>"Montants "&amp;IF(Calcul="Coût pour l'entreprise","des charges patronales ",IF(Calcul="Coût pour l'utilisateur",IF(TauxMarginalImposition=0,"des charges salariales ","des charges salariales + impôts ")&amp;"pour l'utilisateur ",""))&amp;"annualisés (€)"</f>
        <v>Montants des charges patronales annualisés (€)</v>
      </c>
      <c r="N18" s="98"/>
      <c r="O18" s="98"/>
      <c r="P18" s="98"/>
      <c r="Q18" s="98"/>
      <c r="R18" s="98"/>
      <c r="S18" s="98"/>
      <c r="T18" s="98"/>
      <c r="U18" s="11"/>
      <c r="V18" s="11"/>
      <c r="W18" s="11" t="s">
        <v>49</v>
      </c>
      <c r="X18" s="59">
        <v>0.67</v>
      </c>
      <c r="Y18" s="11"/>
      <c r="Z18" s="11"/>
      <c r="AA18" s="61"/>
    </row>
    <row r="19" spans="2:27" ht="19" x14ac:dyDescent="0.2">
      <c r="B19" s="2"/>
      <c r="C19" s="2"/>
      <c r="E19" s="127"/>
      <c r="F19" s="98"/>
      <c r="G19" s="9" t="str">
        <f>IF(OR(AND(AnneeDebut&lt;=2027,Motorisation="Electrique éco-scorée"),(AND(DateDebut&lt;DATE(2025,2,1),Motorisation&lt;&gt;"Thermique",Motorisation&lt;&gt;"Hybride rechargeable"))),"Brut ","")&amp;"Annuel"</f>
        <v>Brut Annuel</v>
      </c>
      <c r="H19" s="9" t="str">
        <f>IF(OR(AND(AnneeDebut&lt;=2027,Motorisation="Electrique éco-scorée"),(AND(DateDebut&lt;DATE(2025,2,1),Motorisation&lt;&gt;"Thermique",Motorisation&lt;&gt;"Hybride rechargeable"))),"Abattement","")</f>
        <v>Abattement</v>
      </c>
      <c r="I19" s="9" t="str">
        <f>IF(OR(AND(AnneeDebut&lt;=2027,Motorisation="Electrique éco-scorée"),(AND(DateDebut&lt;DATE(2025,2,1),Motorisation&lt;&gt;"Thermique",Motorisation&lt;&gt;"Hybride rechargeable"))),"Net annuel","")</f>
        <v>Net annuel</v>
      </c>
      <c r="J19" s="9" t="s">
        <v>14</v>
      </c>
      <c r="K19" s="20" t="s">
        <v>34</v>
      </c>
      <c r="L19" s="17"/>
      <c r="M19" s="15">
        <f>DATE(YEAR(DateDebut),12,31)</f>
        <v>46022</v>
      </c>
      <c r="N19" s="15">
        <f>DATE(YEAR(M19)+1,12,31)</f>
        <v>46387</v>
      </c>
      <c r="O19" s="15">
        <f t="shared" ref="O19:T19" si="0">DATE(YEAR(N19)+1,12,31)</f>
        <v>46752</v>
      </c>
      <c r="P19" s="15">
        <f>DATE(YEAR(O19)+1,12,31)</f>
        <v>47118</v>
      </c>
      <c r="Q19" s="15">
        <f t="shared" si="0"/>
        <v>47483</v>
      </c>
      <c r="R19" s="15">
        <f t="shared" si="0"/>
        <v>47848</v>
      </c>
      <c r="S19" s="15">
        <f t="shared" si="0"/>
        <v>48213</v>
      </c>
      <c r="T19" s="15">
        <f t="shared" si="0"/>
        <v>48579</v>
      </c>
      <c r="U19" s="11"/>
      <c r="V19" s="11"/>
      <c r="W19" s="11" t="s">
        <v>43</v>
      </c>
      <c r="X19" s="59">
        <v>0.09</v>
      </c>
      <c r="Y19" s="59">
        <v>0.06</v>
      </c>
      <c r="Z19" s="11"/>
      <c r="AA19" s="61"/>
    </row>
    <row r="20" spans="2:27" ht="19" x14ac:dyDescent="0.2">
      <c r="B20" s="73" t="s">
        <v>3</v>
      </c>
      <c r="C20" s="74"/>
      <c r="E20" s="10" t="s">
        <v>6</v>
      </c>
      <c r="F20" s="18" t="str">
        <f>IF(Carburant="Oui",IF(AND(Motorisation&lt;&gt;"Thermique",Motorisation&lt;&gt;"Hybride rechargeable"),Forfait,ForfaitCarbu),Forfait)*100&amp;"% du Prix"</f>
        <v>15% du Prix</v>
      </c>
      <c r="G20" s="62">
        <f>IF(PourQui="Utilisateur",TauxUtilisateur,IF(PourQui="Entreprise",TauxChargesPatronales,1))*Prix*IF(Carburant="Oui",IF(AND(Motorisation&lt;&gt;"Thermique",Motorisation&lt;&gt;"Hybride rechargeable"),Forfait,ForfaitCarbu),Forfait)</f>
        <v>1200</v>
      </c>
      <c r="H20" s="62">
        <f>IF(AND(AnneeDebut&lt;=2027,Motorisation="Electrique éco-scorée",DateDebut&gt;=DATE(2025,2,1)),IF((G20*AbatForfaitPour100)&gt;AbatForfait*IF(PourQui="Utilisateur",TauxUtilisateur,IF(PourQui="Entreprise",TauxChargesPatronales,1)),AbatForfait*IF(PourQui="Utilisateur",TauxUtilisateur,IF(PourQui="Entreprise",TauxChargesPatronales,1)),G20*AbatForfaitPour100),IF(AND(AnneeDebut&lt;=2027,Motorisation&lt;&gt;"Thermique",Motorisation&lt;&gt;"Hybride rechargeable",DateDebut&lt;DATE(2025,2,1)),IF((G20*AbatDepReelPour100)&gt;AbatDepReel*IF(PourQui="Utilisateur",TauxUtilisateur,IF(PourQui="Entreprise",TauxChargesPatronales,1)),AbatDepReel*IF(PourQui="Utilisateur",TauxUtilisateur,IF(PourQui="Entreprise",TauxChargesPatronales,1)),G20*AbatDepReelPour100),""))</f>
        <v>840</v>
      </c>
      <c r="I20" s="62">
        <f>IF(OR(AND(AnneeDebut&lt;=2027,Motorisation="Electrique éco-scorée"),(AND(DateDebut&lt;DATE(2025,2,1),Motorisation&lt;&gt;"Thermique",Motorisation&lt;&gt;"Hybride rechargeable"))),G20-H20,"")</f>
        <v>360</v>
      </c>
      <c r="J20" s="62">
        <f>IF(OR(AND(AnneeDebut&lt;=2027,Motorisation="Electrique éco-scorée"),(AND(DateDebut&lt;DATE(2025,2,1),Motorisation&lt;&gt;"Thermique",Motorisation&lt;&gt;"Hybride rechargeable"))),I20,G20)/12</f>
        <v>30</v>
      </c>
      <c r="K20" s="63">
        <f>SUM(M20:T20)</f>
        <v>720</v>
      </c>
      <c r="L20" s="67"/>
      <c r="M20" s="70">
        <f>IF(YEAR(M$19)&lt;=2027,$J20,$G20/12)*M$36</f>
        <v>106</v>
      </c>
      <c r="N20" s="70">
        <f>IF(YEAR(N$19)&lt;=2027,$J20,$G20/12)*N$36</f>
        <v>360</v>
      </c>
      <c r="O20" s="70">
        <f t="shared" ref="O20:S20" si="1">IF(YEAR(O$19)&lt;=2027,$J20,$G20/12)*O$36</f>
        <v>254</v>
      </c>
      <c r="P20" s="70">
        <f t="shared" si="1"/>
        <v>0</v>
      </c>
      <c r="Q20" s="70">
        <f t="shared" si="1"/>
        <v>0</v>
      </c>
      <c r="R20" s="70">
        <f t="shared" si="1"/>
        <v>0</v>
      </c>
      <c r="S20" s="70">
        <f t="shared" si="1"/>
        <v>0</v>
      </c>
      <c r="T20" s="70">
        <f>IF(YEAR(T$19)&lt;=2027,$J20,$G20/12)*T$36</f>
        <v>0</v>
      </c>
      <c r="U20" s="11"/>
      <c r="V20" s="11"/>
      <c r="W20" s="11" t="s">
        <v>39</v>
      </c>
      <c r="X20" s="59">
        <v>0.12</v>
      </c>
      <c r="Y20" s="59">
        <v>0.09</v>
      </c>
      <c r="Z20" s="11"/>
      <c r="AA20" s="61"/>
    </row>
    <row r="21" spans="2:27" ht="19" x14ac:dyDescent="0.2">
      <c r="B21" s="77" t="s">
        <v>17</v>
      </c>
      <c r="C21" s="78"/>
      <c r="E21" s="10" t="str">
        <f>IF(Mode="Location","Location","")</f>
        <v/>
      </c>
      <c r="F21" s="18" t="str">
        <f>IF(AND(Carburant="Oui",Motorisation&lt;&gt;"Electrique éco-scorée",Motorisation&lt;&gt;"Electrique",Mode="Location"),ForfaitLocCarbu*100 &amp;" % du ct global loc + Carb Tot",IF(Mode="Location",ForfaitLoc*100 &amp;" % du ct global loc",""))</f>
        <v/>
      </c>
      <c r="G21" s="62" t="str">
        <f>IF(Mode="Location",IF(PourQui="Utilisateur",TauxUtilisateur,IF(PourQui="Entreprise",TauxChargesPatronales,1))*IF(AND(Carburant="Oui",Motorisation&lt;&gt;"Electrique éco-scorée",Motorisation&lt;&gt;"Electrique"),(Entretien+Location+CarbuTot)*ForfaitLocCarbu,(Entretien+Location)*ForfaitLoc),"")</f>
        <v/>
      </c>
      <c r="H21" s="62" t="str">
        <f>IF(AND(AnneeDebut&lt;=2027,Mode="Location",Motorisation="Electrique éco-scorée",DateDebut&gt;=DATE(2025,2,1)),IF((G21*AbatForfaitPour100)&gt;AbatForfait*IF(PourQui="Utilisateur",TauxUtilisateur,IF(PourQui="Entreprise",TauxChargesPatronales,1)),AbatForfait*IF(PourQui="Utilisateur",TauxUtilisateur,IF(PourQui="Entreprise",TauxChargesPatronales,1)),G21*AbatForfaitPour100),IF(AND(AnneeDebut&lt;=2027,Mode="Location",Motorisation&lt;&gt;"Thermique",Motorisation&lt;&gt;"Hybride rechargeable",DateDebut&lt;DATE(2025,2,1)),IF((G21*AbatDepReelPour100)&gt;AbatDepReel*IF(PourQui="Utilisateur",TauxUtilisateur,IF(PourQui="Entreprise",TauxChargesPatronales,1)),AbatDepReel*IF(PourQui="Utilisateur",TauxUtilisateur,IF(PourQui="Entreprise",TauxChargesPatronales,1)),G21*AbatDepReelPour100),""))</f>
        <v/>
      </c>
      <c r="I21" s="62" t="str">
        <f>IF(AND(Mode="Location",OR(AND(AnneeDebut&lt;=2027,Motorisation="Electrique éco-scorée"),(AND(DateDebut&lt;DATE(2025,2,1),Motorisation&lt;&gt;"Thermique",Motorisation&lt;&gt;"Hybride rechargeable")))),G21-H21,"")</f>
        <v/>
      </c>
      <c r="J21" s="62" t="str">
        <f>IF(Mode="Location",IF(OR(AND(AnneeDebut&lt;=2027,Motorisation="Electrique éco-scorée"),(AND(DateDebut&lt;DATE(2025,2,1),Motorisation&lt;&gt;"Thermique",Motorisation&lt;&gt;"Hybride rechargeable"))),I21,G21)/12,"")</f>
        <v/>
      </c>
      <c r="K21" s="63" t="str">
        <f>IF(Mode="Location",SUM(M21:T21),"")</f>
        <v/>
      </c>
      <c r="L21" s="67"/>
      <c r="M21" s="70" t="str">
        <f t="shared" ref="M21:T21" si="2">IF(Mode="Location",IF(YEAR(M$19)&lt;=2027,$J21,$G21/12)*M$36,"")</f>
        <v/>
      </c>
      <c r="N21" s="70" t="str">
        <f t="shared" si="2"/>
        <v/>
      </c>
      <c r="O21" s="70" t="str">
        <f t="shared" si="2"/>
        <v/>
      </c>
      <c r="P21" s="70" t="str">
        <f t="shared" si="2"/>
        <v/>
      </c>
      <c r="Q21" s="70" t="str">
        <f t="shared" si="2"/>
        <v/>
      </c>
      <c r="R21" s="70" t="str">
        <f t="shared" si="2"/>
        <v/>
      </c>
      <c r="S21" s="70" t="str">
        <f t="shared" si="2"/>
        <v/>
      </c>
      <c r="T21" s="70" t="str">
        <f t="shared" si="2"/>
        <v/>
      </c>
      <c r="U21" s="11"/>
      <c r="V21" s="11"/>
      <c r="W21" s="11" t="s">
        <v>40</v>
      </c>
      <c r="X21" s="59">
        <v>0.2</v>
      </c>
      <c r="Y21" s="59">
        <v>0.1</v>
      </c>
      <c r="Z21" s="11"/>
      <c r="AA21" s="61"/>
    </row>
    <row r="22" spans="2:27" x14ac:dyDescent="0.2">
      <c r="B22" s="2"/>
      <c r="C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11"/>
      <c r="W22" s="11" t="s">
        <v>41</v>
      </c>
      <c r="X22" s="59">
        <v>0.3</v>
      </c>
      <c r="Y22" s="11"/>
      <c r="Z22" s="11"/>
      <c r="AA22" s="61"/>
    </row>
    <row r="23" spans="2:27" ht="21" x14ac:dyDescent="0.25">
      <c r="B23" s="73" t="str">
        <f>IF(OR(AND(Carburant="Oui",ForfaitMixte,Motorisation&lt;&gt;"Electrique éco-scorée"),DepReelles),"Roulage","")</f>
        <v>Roulage</v>
      </c>
      <c r="C23" s="74"/>
      <c r="E23" s="22" t="b">
        <v>1</v>
      </c>
      <c r="F23" s="95" t="s">
        <v>30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11"/>
      <c r="V23" s="11"/>
      <c r="W23" s="11" t="s">
        <v>42</v>
      </c>
      <c r="X23" s="59">
        <v>0.4</v>
      </c>
      <c r="Y23" s="11"/>
      <c r="Z23" s="11"/>
      <c r="AA23" s="61"/>
    </row>
    <row r="24" spans="2:27" x14ac:dyDescent="0.2">
      <c r="B24" s="3" t="str">
        <f>IF(OR(AND(Mode="Location",Carburant="Oui"),DepReelles),"Km/an Professionnel","")</f>
        <v>Km/an Professionnel</v>
      </c>
      <c r="C24" s="4" t="str">
        <f>IF(OR(AND(Carburant="Oui",ForfaitMixte,Motorisation&lt;&gt;"Electrique éco-scorée"),Mode="Location",DepReelles),"Km/an Privé","")</f>
        <v>Km/an Privé</v>
      </c>
      <c r="E24" s="106" t="s">
        <v>1</v>
      </c>
      <c r="F24" s="99" t="s">
        <v>7</v>
      </c>
      <c r="G24" s="99" t="str">
        <f>"Montants "&amp;IF(Calcul="Coût pour l'entreprise","des charges patronales ",IF(Calcul="Coût pour l'utilisateur",IF(TauxMarginalImposition=0,"des charges salariales ","des charges salariales + impôts ")&amp;"pour l'utilisateur ",""))&amp;"(€)"</f>
        <v>Montants des charges patronales (€)</v>
      </c>
      <c r="H24" s="99"/>
      <c r="I24" s="99"/>
      <c r="J24" s="99"/>
      <c r="K24" s="99"/>
      <c r="L24" s="16"/>
      <c r="M24" s="99" t="str">
        <f>"Montants "&amp;IF(Calcul="Coût pour l'entreprise","des charges patronales ",IF(Calcul="Coût pour l'utilisateur",IF(TauxMarginalImposition=0,"des charges salariales ","des charges salariales + impôts ")&amp;"pour l'utilisateur ",""))&amp;"annualisés (€)"</f>
        <v>Montants des charges patronales annualisés (€)</v>
      </c>
      <c r="N24" s="99"/>
      <c r="O24" s="99"/>
      <c r="P24" s="99"/>
      <c r="Q24" s="99"/>
      <c r="R24" s="99"/>
      <c r="S24" s="99"/>
      <c r="T24" s="99"/>
      <c r="U24" s="11"/>
      <c r="V24" s="11" t="s">
        <v>25</v>
      </c>
      <c r="W24" s="59">
        <f>IF(AND(Age="- de 5 ans",DateDebut&lt;DATE(2025,2,1)),Forfait2024,IF(Age="- de 5 ans",Forfait2025,IF(DateDebut&lt;DATE(2025,2,1),ForfaitPlus52024,ForfaitPlus52025)))</f>
        <v>0.15</v>
      </c>
      <c r="X24" s="59">
        <v>0</v>
      </c>
      <c r="Y24" s="11" t="s">
        <v>52</v>
      </c>
      <c r="Z24" s="11"/>
      <c r="AA24" s="61"/>
    </row>
    <row r="25" spans="2:27" ht="19" x14ac:dyDescent="0.2">
      <c r="B25" s="12">
        <v>20000</v>
      </c>
      <c r="C25" s="13">
        <v>10000</v>
      </c>
      <c r="E25" s="106"/>
      <c r="F25" s="99"/>
      <c r="G25" s="7" t="str">
        <f>"Annuel"</f>
        <v>Annuel</v>
      </c>
      <c r="H25" s="7"/>
      <c r="I25" s="7"/>
      <c r="J25" s="7" t="s">
        <v>14</v>
      </c>
      <c r="K25" s="20" t="s">
        <v>34</v>
      </c>
      <c r="L25" s="17"/>
      <c r="M25" s="15">
        <f>M19</f>
        <v>46022</v>
      </c>
      <c r="N25" s="15">
        <f t="shared" ref="N25:T25" si="3">N19</f>
        <v>46387</v>
      </c>
      <c r="O25" s="15">
        <f t="shared" si="3"/>
        <v>46752</v>
      </c>
      <c r="P25" s="15">
        <f t="shared" si="3"/>
        <v>47118</v>
      </c>
      <c r="Q25" s="15">
        <f t="shared" si="3"/>
        <v>47483</v>
      </c>
      <c r="R25" s="15">
        <f t="shared" si="3"/>
        <v>47848</v>
      </c>
      <c r="S25" s="15">
        <f t="shared" si="3"/>
        <v>48213</v>
      </c>
      <c r="T25" s="15">
        <f t="shared" si="3"/>
        <v>48579</v>
      </c>
      <c r="U25" s="11"/>
      <c r="V25" s="11" t="s">
        <v>29</v>
      </c>
      <c r="W25" s="59">
        <f>IF(AND(Age="- de 5 ans",DateDebut&lt;DATE(2025,2,1)),ForfaitCarbu2024,IF(Age="- de 5 ans",ForfaitCarbu2025,IF(DateDebut&lt;DATE(2025,2,1),ForfaitCarbuPlus52024,ForfaitCarbuPlus52025)))</f>
        <v>0.2</v>
      </c>
      <c r="X25" s="59">
        <v>0.11</v>
      </c>
      <c r="Y25" s="11" t="s">
        <v>53</v>
      </c>
      <c r="Z25" s="11"/>
      <c r="AA25" s="61"/>
    </row>
    <row r="26" spans="2:27" ht="15" customHeight="1" x14ac:dyDescent="0.2">
      <c r="B26" s="75" t="str">
        <f>IF(AND(Carburant="Oui",OR(DepReelles,ForfaitMixte,Mode="Location"),Motorisation&lt;&gt;"Electrique éco-scorée",Motorisation&lt;&gt;"Electrique"),"Consommations mixtes du moteur thermique (l/100km)","")</f>
        <v/>
      </c>
      <c r="C26" s="76"/>
      <c r="E26" s="8" t="str">
        <f>IF(AND(Carburant="Oui",ForfaitMixte,Motorisation&lt;&gt;"Electrique éco-scorée",Motorisation&lt;&gt;"Electrique"),"Achat","")</f>
        <v/>
      </c>
      <c r="F26" s="19" t="str">
        <f>IF(AND(Carburant="Oui",ForfaitMixte,Motorisation&lt;&gt;"Electrique éco-scorée",Motorisation&lt;&gt;"Electrique"),Forfait*100 &amp; "% du Prix + Carburant perso","")</f>
        <v/>
      </c>
      <c r="G26" s="64" t="str">
        <f>IF(AND(Carburant="Oui",ForfaitMixte,Motorisation&lt;&gt;"Electrique éco-scorée",Motorisation&lt;&gt;"Electrique"),IF(PourQui="Utilisateur",TauxUtilisateur,IF(PourQui="Entreprise",TauxChargesPatronales,1))*((Forfait*Prix)+CarbuPerso),"")</f>
        <v/>
      </c>
      <c r="H26" s="64"/>
      <c r="I26" s="65"/>
      <c r="J26" s="64" t="str">
        <f>IF(AND(Carburant="Oui",ForfaitMixte,Motorisation&lt;&gt;"Electrique éco-scorée",Motorisation&lt;&gt;"Electrique"),G26/12,"")</f>
        <v/>
      </c>
      <c r="K26" s="66" t="str">
        <f>IF(AND(Carburant="Oui",ForfaitMixte,Motorisation&lt;&gt;"Electrique éco-scorée",Motorisation&lt;&gt;"Electrique"),SUM(M26:T26),"")</f>
        <v/>
      </c>
      <c r="L26" s="67"/>
      <c r="M26" s="68" t="str">
        <f t="shared" ref="M26:T26" si="4">IF(AND(Carburant="Oui",ForfaitMixte,Motorisation&lt;&gt;"Electrique éco-scorée",Motorisation&lt;&gt;"Electrique"),IF(YEAR(M$19)&lt;=2027,$J26,$G26/12)*M$36,"")</f>
        <v/>
      </c>
      <c r="N26" s="68" t="str">
        <f t="shared" si="4"/>
        <v/>
      </c>
      <c r="O26" s="68" t="str">
        <f t="shared" si="4"/>
        <v/>
      </c>
      <c r="P26" s="68" t="str">
        <f t="shared" si="4"/>
        <v/>
      </c>
      <c r="Q26" s="68" t="str">
        <f t="shared" si="4"/>
        <v/>
      </c>
      <c r="R26" s="68" t="str">
        <f t="shared" si="4"/>
        <v/>
      </c>
      <c r="S26" s="68" t="str">
        <f t="shared" si="4"/>
        <v/>
      </c>
      <c r="T26" s="68" t="str">
        <f t="shared" si="4"/>
        <v/>
      </c>
      <c r="U26" s="11"/>
      <c r="V26" s="11" t="s">
        <v>26</v>
      </c>
      <c r="W26" s="59">
        <f>IF(AND(Age="- de 5 ans",DateDebut&lt;DATE(2025,2,1)),ForfaitDepReel2024,IF(Age="- de 5 ans",ForfaitDepReel2025,IF(DateDebut&lt;DATE(2025,2,1),ForfaitDepReelPlus52024,ForfaitDepReelPlus52025)))</f>
        <v>0.2</v>
      </c>
      <c r="X26" s="59">
        <v>0.3</v>
      </c>
      <c r="Y26" s="11" t="s">
        <v>54</v>
      </c>
      <c r="Z26" s="11"/>
      <c r="AA26" s="61"/>
    </row>
    <row r="27" spans="2:27" ht="19" x14ac:dyDescent="0.2">
      <c r="B27" s="104">
        <v>5.2</v>
      </c>
      <c r="C27" s="105"/>
      <c r="E27" s="8" t="str">
        <f>IF(AND(Carburant="Oui",ForfaitMixte,Motorisation&lt;&gt;"Electrique éco-scorée",Motorisation&lt;&gt;"Electrique",Mode="Location"),"Location","")</f>
        <v/>
      </c>
      <c r="F27" s="19" t="str">
        <f>IF(AND(Mode="Location",Carburant="Oui",ForfaitMixte,Motorisation&lt;&gt;"Electrique éco-scorée",Motorisation&lt;&gt;"Electrique"),ForfaitLoc*100 &amp; "% de ct glob loc + Carbu perso","")</f>
        <v/>
      </c>
      <c r="G27" s="64" t="str">
        <f>IF(AND(Mode="Location",Carburant="Oui",ForfaitMixte,Motorisation&lt;&gt;"Electrique éco-scorée",Motorisation&lt;&gt;"Electrique"),IF(PourQui="Utilisateur",TauxUtilisateur,IF(PourQui="Entreprise",TauxChargesPatronales,1))*((ForfaitLoc*(Location+Entretien))+CarbuPerso),"")</f>
        <v/>
      </c>
      <c r="H27" s="64"/>
      <c r="I27" s="65"/>
      <c r="J27" s="64" t="str">
        <f>IF(AND(Mode="Location",Carburant="Oui",ForfaitMixte,Motorisation&lt;&gt;"Electrique éco-scorée",Motorisation&lt;&gt;"Electrique"),G27/12,"")</f>
        <v/>
      </c>
      <c r="K27" s="66" t="str">
        <f>IF(AND(Mode="Location",Carburant="Oui",ForfaitMixte,Motorisation&lt;&gt;"Electrique éco-scorée",Motorisation&lt;&gt;"Electrique"),IF(AND(Carburant="Oui",ForfaitMixte,Motorisation&lt;&gt;"Electrique éco-scorée"),SUM(M27:T27),""),"")</f>
        <v/>
      </c>
      <c r="L27" s="67"/>
      <c r="M27" s="68" t="str">
        <f t="shared" ref="M27:T27" si="5">IF(AND(Mode="Location",Carburant="Oui",ForfaitMixte,Motorisation&lt;&gt;"Electrique éco-scorée",Motorisation&lt;&gt;"Electrique"),IF(AND(Carburant="Oui",ForfaitMixte,Motorisation&lt;&gt;"Electrique éco-scorée",Motorisation&lt;&gt;"Electrique"),IF(YEAR(M$19)&lt;=2027,$J27,$G27/12)*M$36,""),"")</f>
        <v/>
      </c>
      <c r="N27" s="68" t="str">
        <f t="shared" si="5"/>
        <v/>
      </c>
      <c r="O27" s="68" t="str">
        <f t="shared" si="5"/>
        <v/>
      </c>
      <c r="P27" s="68" t="str">
        <f t="shared" si="5"/>
        <v/>
      </c>
      <c r="Q27" s="68" t="str">
        <f t="shared" si="5"/>
        <v/>
      </c>
      <c r="R27" s="68" t="str">
        <f t="shared" si="5"/>
        <v/>
      </c>
      <c r="S27" s="68" t="str">
        <f t="shared" si="5"/>
        <v/>
      </c>
      <c r="T27" s="68" t="str">
        <f t="shared" si="5"/>
        <v/>
      </c>
      <c r="U27" s="11"/>
      <c r="V27" s="11" t="s">
        <v>27</v>
      </c>
      <c r="W27" s="59">
        <f>IF(DateDebut&lt;DATE(2025,2,1),ForfaitLoc2024,ForfaitLoc2025)</f>
        <v>0.5</v>
      </c>
      <c r="X27" s="59">
        <v>0.41</v>
      </c>
      <c r="Y27" s="11" t="s">
        <v>55</v>
      </c>
      <c r="Z27" s="11" t="str">
        <f>IF(Calcul="Coût pour l'utilisateur","Utilisateur",IF(Calcul="Coût pour l'entreprise","Entreprise","AEN"))</f>
        <v>Entreprise</v>
      </c>
      <c r="AA27" s="61"/>
    </row>
    <row r="28" spans="2:27" ht="15" customHeight="1" x14ac:dyDescent="0.2">
      <c r="B28" s="75" t="str">
        <f>IF(AND(Carburant="Oui",OR(DepReelles,ForfaitMixte,Mode="Location"),Motorisation&lt;&gt;"Electrique éco-scorée",Motorisation&lt;&gt;"Electrique"),"Prix TTC du litre de carburant","")</f>
        <v/>
      </c>
      <c r="C28" s="76"/>
      <c r="F28" s="1"/>
      <c r="G28" s="1"/>
      <c r="H28" s="1"/>
      <c r="I28" s="1"/>
      <c r="J28" s="1"/>
      <c r="K28" s="1"/>
      <c r="L28" s="24"/>
      <c r="M28" s="1"/>
      <c r="N28" s="1"/>
      <c r="O28" s="1"/>
      <c r="P28" s="1"/>
      <c r="Q28" s="1"/>
      <c r="R28" s="1"/>
      <c r="S28" s="1"/>
      <c r="T28" s="1"/>
      <c r="U28" s="11"/>
      <c r="V28" s="11" t="s">
        <v>28</v>
      </c>
      <c r="W28" s="59">
        <f>IF(DateDebut&lt;DATE(2025,2,1),ForfaitLocCarbu2024,ForfaitLocCarbu2025)</f>
        <v>0.67</v>
      </c>
      <c r="X28" s="59">
        <v>0.45</v>
      </c>
      <c r="Y28" s="11" t="s">
        <v>56</v>
      </c>
      <c r="Z28" s="11">
        <f>0.9*(1-TauxChargesSalariales)*TauxMarginalImposition+TauxChargesSalariales</f>
        <v>0.32425000000000004</v>
      </c>
      <c r="AA28" s="61"/>
    </row>
    <row r="29" spans="2:27" ht="21" x14ac:dyDescent="0.25">
      <c r="B29" s="102">
        <v>1.75</v>
      </c>
      <c r="C29" s="103"/>
      <c r="E29" s="23" t="b">
        <v>1</v>
      </c>
      <c r="F29" s="129" t="s">
        <v>5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61"/>
      <c r="V29" s="61"/>
      <c r="W29" s="61"/>
      <c r="X29" s="61"/>
      <c r="Y29" s="61"/>
      <c r="Z29" s="61"/>
      <c r="AA29" s="61"/>
    </row>
    <row r="30" spans="2:27" x14ac:dyDescent="0.2">
      <c r="B30" s="75" t="str">
        <f>IF(AND(Carburant="Oui",OR(DepReelles,ForfaitMixte,Mode="Location"),Motorisation="Hybride rechargeable"),"% d'utilisation du moteur thermique","")</f>
        <v/>
      </c>
      <c r="C30" s="76"/>
      <c r="E30" s="128" t="s">
        <v>1</v>
      </c>
      <c r="F30" s="108" t="s">
        <v>7</v>
      </c>
      <c r="G30" s="108" t="str">
        <f>"Montants "&amp;IF(Calcul="Coût pour l'entreprise","des charges patronales ",IF(Calcul="Coût pour l'utilisateur",IF(TauxMarginalImposition=0,"des charges salariales ","des charges salariales + impôts ")&amp;"pour l'utilisateur ",""))&amp;"(€)"</f>
        <v>Montants des charges patronales (€)</v>
      </c>
      <c r="H30" s="108"/>
      <c r="I30" s="108"/>
      <c r="J30" s="108"/>
      <c r="K30" s="108"/>
      <c r="L30" s="1"/>
      <c r="M30" s="108" t="str">
        <f>"Montants "&amp;IF(Calcul="Coût pour l'entreprise","des charges patronales ",IF(Calcul="Coût pour l'utilisateur",IF(TauxMarginalImposition=0,"des charges salariales ","des charges salariales + impôts ")&amp;"pour l'utilisateur ",""))&amp;"annualisés (€)"</f>
        <v>Montants des charges patronales annualisés (€)</v>
      </c>
      <c r="N30" s="108"/>
      <c r="O30" s="108"/>
      <c r="P30" s="108"/>
      <c r="Q30" s="108"/>
      <c r="R30" s="108"/>
      <c r="S30" s="108"/>
      <c r="T30" s="108"/>
      <c r="U30" s="61"/>
      <c r="V30" s="61"/>
      <c r="W30" s="61"/>
      <c r="X30" s="61"/>
      <c r="Y30" s="61"/>
      <c r="Z30" s="61"/>
      <c r="AA30" s="61"/>
    </row>
    <row r="31" spans="2:27" ht="19" x14ac:dyDescent="0.2">
      <c r="B31" s="100">
        <v>0.8</v>
      </c>
      <c r="C31" s="101"/>
      <c r="E31" s="128"/>
      <c r="F31" s="108"/>
      <c r="G31" s="6" t="str">
        <f>IF(OR(AND(AnneeDebut&lt;=2027,Motorisation="Electrique éco-scorée"),(AND(DateDebut&lt;DATE(2025,2,1),Motorisation&lt;&gt;"Thermique",Motorisation&lt;&gt;"Hybride rechargeable"))),"Brut ","")&amp;"Annuel"</f>
        <v>Brut Annuel</v>
      </c>
      <c r="H31" s="6" t="str">
        <f>IF(OR(AND(AnneeDebut&lt;=2027,Motorisation="Electrique éco-scorée"),(AND(DateDebut&lt;DATE(2025,2,1),Motorisation&lt;&gt;"Thermique",Motorisation&lt;&gt;"Hybride rechargeable"))),"Abattement","")</f>
        <v>Abattement</v>
      </c>
      <c r="I31" s="6" t="str">
        <f>IF(OR(AND(AnneeDebut&lt;=2027,Motorisation="Electrique éco-scorée"),(AND(DateDebut&lt;DATE(2025,2,1),Motorisation&lt;&gt;"Thermique",Motorisation&lt;&gt;"Hybride rechargeable"))),"Net annuel","")</f>
        <v>Net annuel</v>
      </c>
      <c r="J31" s="6" t="s">
        <v>14</v>
      </c>
      <c r="K31" s="20" t="s">
        <v>34</v>
      </c>
      <c r="L31" s="1"/>
      <c r="M31" s="15">
        <f>M19</f>
        <v>46022</v>
      </c>
      <c r="N31" s="15">
        <f t="shared" ref="N31:T31" si="6">N19</f>
        <v>46387</v>
      </c>
      <c r="O31" s="15">
        <f t="shared" si="6"/>
        <v>46752</v>
      </c>
      <c r="P31" s="15">
        <f t="shared" si="6"/>
        <v>47118</v>
      </c>
      <c r="Q31" s="15">
        <f t="shared" si="6"/>
        <v>47483</v>
      </c>
      <c r="R31" s="15">
        <f t="shared" si="6"/>
        <v>47848</v>
      </c>
      <c r="S31" s="15">
        <f t="shared" si="6"/>
        <v>48213</v>
      </c>
      <c r="T31" s="15">
        <f t="shared" si="6"/>
        <v>48579</v>
      </c>
      <c r="U31" s="61"/>
      <c r="V31" s="61"/>
      <c r="W31" s="61"/>
      <c r="X31" s="61"/>
      <c r="Y31" s="61"/>
      <c r="Z31" s="61"/>
      <c r="AA31" s="61"/>
    </row>
    <row r="32" spans="2:27" x14ac:dyDescent="0.2">
      <c r="B32" s="75" t="str">
        <f>IF(AND(Carburant="Oui",OR(DepReelles,ForfaitMixte,Mode="Location"),Motorisation="Hybride rechargeable"),"Consommations mixtes du moteur électrique (kWh/100km)","")</f>
        <v/>
      </c>
      <c r="C32" s="76"/>
      <c r="E32" s="113" t="str">
        <f>IF(AND(DepReelles,Mode&lt;&gt;"Location"),"Achat","")</f>
        <v>Achat</v>
      </c>
      <c r="F32" s="114" t="str">
        <f>IF(AND(DepReelles,Mode&lt;&gt;"Location"),"Prorata de ("&amp;ForfaitDepReel*100&amp;"% du Prix + Ent + Asss)"&amp;IF(AND(Motorisation&lt;&gt;"Electrique éco-scorée",Motorisation&lt;&gt;"Electrique",Carburant="Oui")," + Carb perso.",""),"")</f>
        <v>Prorata de (20% du Prix + Ent + Asss)</v>
      </c>
      <c r="G32" s="112">
        <f>IF(AND(DepReelles,Mode&lt;&gt;"Location"),IF(PourQui="Utilisateur",TauxUtilisateur,IF(PourQui="Entreprise",TauxChargesPatronales,1))*((ForfaitDepReel*Prix)+Entretien)*(KmPerso/(KmPro+KmPerso))+IF(AND(Carburant="Oui",Motorisation&lt;&gt;"Electrique éco-scorée",Motorisation&lt;&gt;"Electrique"),CarbuPerso,0),"")</f>
        <v>533.33333333333326</v>
      </c>
      <c r="H32" s="112">
        <f>IF(AND(AnneeDebut&lt;=2027,Mode&lt;&gt;"Location",DepReelles,OR(AND(DateDebut&lt;DATE(2025,2,1),Motorisation&lt;&gt;"Thermique",Motorisation&lt;&gt;"Hybride rechargeable"),Motorisation="Electrique éco-scorée")),IF((G32*AbatDepReelPour100)&gt;AbatDepReel*IF(PourQui="Utilisateur",TauxUtilisateur,IF(PourQui="Entreprise",TauxChargesPatronales,1)),AbatDepReel*IF(PourQui="Utilisateur",TauxUtilisateur,IF(PourQui="Entreprise",TauxChargesPatronales,1)),G32*AbatDepReelPour100),"")</f>
        <v>266.66666666666663</v>
      </c>
      <c r="I32" s="112">
        <f>IF(AND(Mode&lt;&gt;"Location",AnneeDebut&lt;=2027,DepReelles,OR(AND(DateDebut&lt;DATE(2025,2,1),Motorisation&lt;&gt;"Thermique",Motorisation&lt;&gt;"Hybride rechargeable"),Motorisation="Electrique éco-scorée")),G32-H32,"")</f>
        <v>266.66666666666663</v>
      </c>
      <c r="J32" s="112">
        <f>IF(AND(Mode&lt;&gt;"Location",DepReelles),IF(OR(AND(AnneeDebut&lt;=2027,Motorisation="Electrique éco-scorée"),AND(DateDebut&lt;DATE(2025,2,1),Motorisation&lt;&gt;"Thermique",Motorisation&lt;&gt;"Hybride rechargeable")),I32,G32)/12,"")</f>
        <v>22.222222222222218</v>
      </c>
      <c r="K32" s="109">
        <f>IF(AND(DepReelles,Mode&lt;&gt;"Location"),SUM(M32:T32),"")</f>
        <v>533.33333333333326</v>
      </c>
      <c r="L32" s="69"/>
      <c r="M32" s="107">
        <f t="shared" ref="M32:T32" si="7">IF(AND(DepReelles,Mode&lt;&gt;"Location"),IF(YEAR(M$19)&lt;=2027,$J32,$G32/12)*M$36,"")</f>
        <v>78.518518518518505</v>
      </c>
      <c r="N32" s="107">
        <f t="shared" si="7"/>
        <v>266.66666666666663</v>
      </c>
      <c r="O32" s="107">
        <f t="shared" si="7"/>
        <v>188.14814814814812</v>
      </c>
      <c r="P32" s="107">
        <f t="shared" si="7"/>
        <v>0</v>
      </c>
      <c r="Q32" s="107">
        <f t="shared" si="7"/>
        <v>0</v>
      </c>
      <c r="R32" s="107">
        <f t="shared" si="7"/>
        <v>0</v>
      </c>
      <c r="S32" s="107">
        <f t="shared" si="7"/>
        <v>0</v>
      </c>
      <c r="T32" s="107">
        <f t="shared" si="7"/>
        <v>0</v>
      </c>
    </row>
    <row r="33" spans="2:20" x14ac:dyDescent="0.2">
      <c r="B33" s="115">
        <v>16</v>
      </c>
      <c r="C33" s="116"/>
      <c r="E33" s="113"/>
      <c r="F33" s="114"/>
      <c r="G33" s="112"/>
      <c r="H33" s="112">
        <f>IF(AND(AnneeDebut&lt;=2027,Mode&lt;&gt;"Location",DepReelles,Motorisation="Electrique éco-scorée",DateDebut&gt;=DATE(2025,2,1)),IF((G33*AbatForfaitPour100)&gt;AbatForfait,AbatForfait,G33*AbatForfaitPour100),IF(AND(AnneeDebut&lt;=2027,Mode&lt;&gt;"Location",DepReelles,Motorisation&lt;&gt;"Thermique",Motorisation&lt;&gt;"Hybride rechargeable"),IF((G33*AbatDepReelPour100)&gt;AbatDepReel,AbatDepReel,G33*AbatDepReelPour100),""))</f>
        <v>0</v>
      </c>
      <c r="I33" s="112" t="str">
        <f>IF(AND(AnneeDebut&lt;=2027,Mode="Location",Motorisation&lt;&gt;"Thermique",Motorisation&lt;&gt;"Hybride rechargeable"),G33-H33,"")</f>
        <v/>
      </c>
      <c r="J33" s="112" t="str">
        <f>IF(Mode="Location",IF(OR(AND(AnneeDebut&lt;=2027,Motorisation="Electrique éco-scorée"),(AND(DateDebut&lt;DATE(2025,2,1),Motorisation&lt;&gt;"Thermique",Motorisation&lt;&gt;"Hybride rechargeable"))),I33,G33)/12,"")</f>
        <v/>
      </c>
      <c r="K33" s="109"/>
      <c r="L33" s="69"/>
      <c r="M33" s="107"/>
      <c r="N33" s="107"/>
      <c r="O33" s="107"/>
      <c r="P33" s="107"/>
      <c r="Q33" s="107"/>
      <c r="R33" s="107"/>
      <c r="S33" s="107"/>
      <c r="T33" s="107"/>
    </row>
    <row r="34" spans="2:20" x14ac:dyDescent="0.2">
      <c r="B34" s="75" t="str">
        <f>IF(AND(Carburant="Oui",OR(DepReelles,ForfaitMixte,Mode="Location"),Motorisation="Hybride rechargeable"),"Prix TTC du kWh","")</f>
        <v/>
      </c>
      <c r="C34" s="76"/>
      <c r="E34" s="113" t="str">
        <f>IF(AND(Mode="Location",DepReelles),"Location","")</f>
        <v/>
      </c>
      <c r="F34" s="114" t="str">
        <f>IF(AND(DepReelles,Mode="Location"),"Prorata de (Ct global Loc +Ent +Ass.)"&amp;IF(AND(Carburant="Oui",Motorisation&lt;&gt;"Electrique éco-scorée",Motorisation&lt;&gt;"Electrique")," +Carb perso.",""),"")</f>
        <v/>
      </c>
      <c r="G34" s="112" t="str">
        <f>IF(AND(Mode="Location",DepReelles),IF(PourQui="Utilisateur",TauxUtilisateur,IF(PourQui="Entreprise",TauxChargesPatronales,1))*(Location+Entretien)*(KmPerso/(KmPro+KmPerso))+IF(AND(Carburant="Oui",Motorisation&lt;&gt;"Electrique éco-scorée",Motorisation&lt;&gt;"Electrique"),CarbuPerso,0),"")</f>
        <v/>
      </c>
      <c r="H34" s="112" t="str">
        <f>IF(AND(AnneeDebut&lt;=2027,Mode="Location",DepReelles,OR(AND(DateDebut&lt;DATE(2025,2,1),Motorisation&lt;&gt;"Thermique",Motorisation&lt;&gt;"Hybride rechargeable"),Motorisation="Electrique éco-scorée")),IF((G34*AbatDepReelPour100)&gt;AbatDepReel*IF(PourQui="Utilisateur",TauxUtilisateur,IF(PourQui="Entreprise",TauxChargesPatronales,1)),AbatDepReel*IF(PourQui="Utilisateur",TauxUtilisateur,IF(PourQui="Entreprise",TauxChargesPatronales,1)),G34*AbatDepReelPour100),"")</f>
        <v/>
      </c>
      <c r="I34" s="112" t="str">
        <f>IF(AND(Mode="Location",AnneeDebut&lt;=2027,DepReelles,OR(AND(DateDebut&lt;DATE(2025,2,1),Motorisation&lt;&gt;"Thermique",Motorisation&lt;&gt;"Hybride rechargeable"),Motorisation="Electrique éco-scorée")),G34-H34,"")</f>
        <v/>
      </c>
      <c r="J34" s="112" t="str">
        <f>IF(AND(Mode="Location",DepReelles),IF(OR(AND(AnneeDebut&lt;=2027,Motorisation="Electrique éco-scorée"),AND(DateDebut&lt;DATE(2025,2,1),Motorisation&lt;&gt;"Thermique",Motorisation&lt;&gt;"Hybride rechargeable")),I34,G34)/12,"")</f>
        <v/>
      </c>
      <c r="K34" s="109" t="str">
        <f>IF(AND(Mode="Location",DepReelles),SUM(M34:T34),"")</f>
        <v/>
      </c>
      <c r="L34" s="69"/>
      <c r="M34" s="107" t="str">
        <f t="shared" ref="M34:T34" si="8">IF(AND(Mode="Location",DepReelles),IF(YEAR(M$19)&lt;=2027,$J34,$G34/12)*M$36,"")</f>
        <v/>
      </c>
      <c r="N34" s="107" t="str">
        <f t="shared" si="8"/>
        <v/>
      </c>
      <c r="O34" s="107" t="str">
        <f t="shared" si="8"/>
        <v/>
      </c>
      <c r="P34" s="107" t="str">
        <f t="shared" si="8"/>
        <v/>
      </c>
      <c r="Q34" s="107" t="str">
        <f t="shared" si="8"/>
        <v/>
      </c>
      <c r="R34" s="107" t="str">
        <f t="shared" si="8"/>
        <v/>
      </c>
      <c r="S34" s="107" t="str">
        <f t="shared" si="8"/>
        <v/>
      </c>
      <c r="T34" s="107" t="str">
        <f t="shared" si="8"/>
        <v/>
      </c>
    </row>
    <row r="35" spans="2:20" x14ac:dyDescent="0.2">
      <c r="B35" s="110">
        <v>0.2</v>
      </c>
      <c r="C35" s="111"/>
      <c r="E35" s="113"/>
      <c r="F35" s="114"/>
      <c r="G35" s="112"/>
      <c r="H35" s="112">
        <f>IF(AND(AnneeDebut&lt;=2027,Mode&lt;&gt;"Location",DepReelles,Motorisation="Electrique éco-scorée",DateDebut&gt;=DATE(2025,2,1)),IF((G35*AbatForfaitPour100)&gt;AbatForfait,AbatForfait,G35*AbatForfaitPour100),IF(AND(AnneeDebut&lt;=2027,Mode&lt;&gt;"Location",DepReelles,Motorisation&lt;&gt;"Thermique",Motorisation&lt;&gt;"Hybride rechargeable"),IF((G35*AbatDepReelPour100)&gt;AbatDepReel,AbatDepReel,G35*AbatDepReelPour100),""))</f>
        <v>0</v>
      </c>
      <c r="I35" s="112" t="str">
        <f>IF(AND(AnneeDebut&lt;=2027,Mode="Location",Motorisation&lt;&gt;"Thermique",Motorisation&lt;&gt;"Hybride rechargeable"),G35-H35,"")</f>
        <v/>
      </c>
      <c r="J35" s="112" t="str">
        <f>IF(Mode="Location",IF(OR(AND(AnneeDebut&lt;=2027,Motorisation="Electrique éco-scorée"),(AND(DateDebut&lt;DATE(2025,2,1),Motorisation&lt;&gt;"Thermique",Motorisation&lt;&gt;"Hybride rechargeable"))),I35,G35)/12,"")</f>
        <v/>
      </c>
      <c r="K35" s="109"/>
      <c r="L35" s="69"/>
      <c r="M35" s="107"/>
      <c r="N35" s="107"/>
      <c r="O35" s="107"/>
      <c r="P35" s="107"/>
      <c r="Q35" s="107"/>
      <c r="R35" s="107"/>
      <c r="S35" s="107"/>
      <c r="T35" s="107"/>
    </row>
    <row r="36" spans="2:20" x14ac:dyDescent="0.2">
      <c r="B36" s="5"/>
      <c r="C36" s="5"/>
      <c r="M36" s="43">
        <f t="shared" ref="M36:T36" si="9">IF(YEAR(DateDebut)=YEAR(M19),IF(YEAR(M19)=YEAR(DateFin),DATEDIF(DateDebut,DateFin,"m")+1,DATEDIF(DateDebut,M19,"m")+((NbJourMoisDebut-(DateDebut-(EOMONTH(DateDebut,-1)+1)))/30)),IF(YEAR(M19)&lt;YEAR(DateFin),12,IF(YEAR(M19)&gt;YEAR(DateFin),0,DATEDIF(DATE(YEAR(M19)-1,12,31),DateFin,"m")+(IF(DAY(EOMONTH(DateFin,0))=(DateFin-EDATE(EOMONTH(DateFin,0)+1,-1)+1),(IF(DAY(EOMONTH(DateFin,0))=31,0,1)),(DateFin-EDATE(EOMONTH(DateFin,0)+1,-1)+1)/30)))))</f>
        <v>3.5333333333333332</v>
      </c>
      <c r="N36" s="43">
        <f t="shared" si="9"/>
        <v>12</v>
      </c>
      <c r="O36" s="43">
        <f t="shared" si="9"/>
        <v>8.4666666666666668</v>
      </c>
      <c r="P36" s="43">
        <f t="shared" si="9"/>
        <v>0</v>
      </c>
      <c r="Q36" s="43">
        <f t="shared" si="9"/>
        <v>0</v>
      </c>
      <c r="R36" s="43">
        <f t="shared" si="9"/>
        <v>0</v>
      </c>
      <c r="S36" s="43">
        <f t="shared" si="9"/>
        <v>0</v>
      </c>
      <c r="T36" s="43">
        <f t="shared" si="9"/>
        <v>0</v>
      </c>
    </row>
    <row r="37" spans="2:20" x14ac:dyDescent="0.2">
      <c r="B37" s="5"/>
      <c r="C37" s="5"/>
    </row>
    <row r="38" spans="2:20" ht="21" x14ac:dyDescent="0.25">
      <c r="B38" s="35" t="s">
        <v>38</v>
      </c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</row>
    <row r="39" spans="2:20" x14ac:dyDescent="0.2">
      <c r="B39" s="29"/>
      <c r="T39" s="30"/>
    </row>
    <row r="40" spans="2:20" x14ac:dyDescent="0.2">
      <c r="B40" s="29"/>
      <c r="T40" s="30"/>
    </row>
    <row r="41" spans="2:20" x14ac:dyDescent="0.2">
      <c r="B41" s="29"/>
      <c r="C41"/>
      <c r="M41" s="41"/>
      <c r="N41" s="41"/>
      <c r="O41" s="41"/>
      <c r="P41" s="41"/>
      <c r="Q41" s="41"/>
      <c r="R41" s="41"/>
      <c r="S41" s="41"/>
      <c r="T41" s="42"/>
    </row>
    <row r="42" spans="2:20" x14ac:dyDescent="0.2">
      <c r="B42" s="29"/>
      <c r="C42"/>
      <c r="M42" s="41"/>
      <c r="N42" s="41"/>
      <c r="O42" s="41"/>
      <c r="P42" s="41"/>
      <c r="Q42" s="41"/>
      <c r="R42" s="41"/>
      <c r="S42" s="41"/>
      <c r="T42" s="42"/>
    </row>
    <row r="43" spans="2:20" x14ac:dyDescent="0.2">
      <c r="B43" s="29"/>
      <c r="C43"/>
      <c r="M43" s="41"/>
      <c r="N43" s="41"/>
      <c r="O43" s="41"/>
      <c r="P43" s="41"/>
      <c r="Q43" s="41"/>
      <c r="R43" s="41"/>
      <c r="S43" s="41"/>
      <c r="T43" s="42"/>
    </row>
    <row r="44" spans="2:20" x14ac:dyDescent="0.2">
      <c r="B44" s="29"/>
      <c r="C44"/>
      <c r="M44" s="41"/>
      <c r="N44" s="41"/>
      <c r="O44" s="41"/>
      <c r="P44" s="41"/>
      <c r="Q44" s="41"/>
      <c r="R44" s="41"/>
      <c r="S44" s="41"/>
      <c r="T44" s="42"/>
    </row>
    <row r="45" spans="2:20" x14ac:dyDescent="0.2">
      <c r="B45" s="29"/>
      <c r="C45"/>
      <c r="M45" s="41"/>
      <c r="N45" s="41"/>
      <c r="O45" s="41"/>
      <c r="P45" s="41"/>
      <c r="Q45" s="41"/>
      <c r="R45" s="41"/>
      <c r="S45" s="41"/>
      <c r="T45" s="42"/>
    </row>
    <row r="46" spans="2:20" x14ac:dyDescent="0.2">
      <c r="B46" s="29"/>
      <c r="M46" s="41"/>
      <c r="N46" s="41"/>
      <c r="O46" s="41"/>
      <c r="P46" s="41"/>
      <c r="Q46" s="41"/>
      <c r="R46" s="41"/>
      <c r="S46" s="41"/>
      <c r="T46" s="42"/>
    </row>
    <row r="47" spans="2:20" x14ac:dyDescent="0.2">
      <c r="B47" s="29"/>
      <c r="M47" s="41"/>
      <c r="N47" s="41"/>
      <c r="O47" s="41"/>
      <c r="P47" s="41"/>
      <c r="Q47" s="41"/>
      <c r="R47" s="41"/>
      <c r="S47" s="41"/>
      <c r="T47" s="42"/>
    </row>
    <row r="48" spans="2:20" x14ac:dyDescent="0.2">
      <c r="B48" s="29"/>
      <c r="M48" s="41"/>
      <c r="N48" s="41"/>
      <c r="O48" s="41"/>
      <c r="P48" s="41"/>
      <c r="Q48" s="41"/>
      <c r="R48" s="41"/>
      <c r="S48" s="41"/>
      <c r="T48" s="42"/>
    </row>
    <row r="49" spans="2:20" x14ac:dyDescent="0.2">
      <c r="B49" s="29"/>
      <c r="M49" s="41"/>
      <c r="N49" s="41"/>
      <c r="O49" s="41"/>
      <c r="P49" s="41"/>
      <c r="Q49" s="41"/>
      <c r="R49" s="41"/>
      <c r="S49" s="41"/>
      <c r="T49" s="42"/>
    </row>
    <row r="50" spans="2:20" x14ac:dyDescent="0.2">
      <c r="B50" s="29"/>
      <c r="M50" s="41"/>
      <c r="N50" s="41"/>
      <c r="O50" s="41"/>
      <c r="P50" s="41"/>
      <c r="Q50" s="41"/>
      <c r="R50" s="41"/>
      <c r="S50" s="41"/>
      <c r="T50" s="42"/>
    </row>
    <row r="51" spans="2:20" x14ac:dyDescent="0.2">
      <c r="B51" s="29"/>
      <c r="M51" s="41"/>
      <c r="N51" s="41"/>
      <c r="O51" s="41"/>
      <c r="P51" s="41"/>
      <c r="Q51" s="41"/>
      <c r="R51" s="41"/>
      <c r="S51" s="41"/>
      <c r="T51" s="42"/>
    </row>
    <row r="52" spans="2:20" x14ac:dyDescent="0.2">
      <c r="B52" s="29"/>
      <c r="M52" s="41"/>
      <c r="N52" s="41"/>
      <c r="O52" s="41"/>
      <c r="P52" s="41"/>
      <c r="Q52" s="41"/>
      <c r="R52" s="41"/>
      <c r="S52" s="41"/>
      <c r="T52" s="42"/>
    </row>
    <row r="53" spans="2:20" x14ac:dyDescent="0.2">
      <c r="B53" s="29"/>
      <c r="M53" s="41"/>
      <c r="N53" s="41"/>
      <c r="O53" s="41"/>
      <c r="P53" s="41"/>
      <c r="Q53" s="41"/>
      <c r="R53" s="41"/>
      <c r="S53" s="41"/>
      <c r="T53" s="42"/>
    </row>
    <row r="54" spans="2:20" x14ac:dyDescent="0.2">
      <c r="B54" s="29"/>
      <c r="M54" s="41"/>
      <c r="N54" s="41"/>
      <c r="O54" s="41"/>
      <c r="P54" s="41"/>
      <c r="Q54" s="41"/>
      <c r="R54" s="41"/>
      <c r="S54" s="41"/>
      <c r="T54" s="42"/>
    </row>
    <row r="55" spans="2:20" x14ac:dyDescent="0.2">
      <c r="B55" s="29"/>
      <c r="M55" s="41"/>
      <c r="N55" s="41"/>
      <c r="O55" s="41"/>
      <c r="P55" s="41"/>
      <c r="Q55" s="41"/>
      <c r="R55" s="41"/>
      <c r="S55" s="41"/>
      <c r="T55" s="42"/>
    </row>
    <row r="56" spans="2:20" x14ac:dyDescent="0.2">
      <c r="B56" s="29"/>
      <c r="M56" s="41"/>
      <c r="T56" s="30"/>
    </row>
    <row r="57" spans="2:20" x14ac:dyDescent="0.2">
      <c r="B57" s="29"/>
      <c r="T57" s="30"/>
    </row>
    <row r="58" spans="2:20" x14ac:dyDescent="0.2">
      <c r="B58" s="29"/>
      <c r="T58" s="30"/>
    </row>
    <row r="59" spans="2:20" x14ac:dyDescent="0.2">
      <c r="B59" s="29"/>
      <c r="T59" s="30"/>
    </row>
    <row r="60" spans="2:20" x14ac:dyDescent="0.2">
      <c r="B60" s="29"/>
      <c r="T60" s="30"/>
    </row>
    <row r="61" spans="2:20" x14ac:dyDescent="0.2">
      <c r="B61" s="29"/>
      <c r="T61" s="30"/>
    </row>
    <row r="62" spans="2:20" x14ac:dyDescent="0.2">
      <c r="B62" s="29"/>
      <c r="T62" s="30"/>
    </row>
    <row r="63" spans="2:20" x14ac:dyDescent="0.2">
      <c r="B63" s="29"/>
      <c r="T63" s="30"/>
    </row>
    <row r="64" spans="2:20" x14ac:dyDescent="0.2">
      <c r="B64" s="29"/>
      <c r="T64" s="30"/>
    </row>
    <row r="65" spans="2:20" x14ac:dyDescent="0.2">
      <c r="B65" s="29"/>
      <c r="T65" s="30"/>
    </row>
    <row r="66" spans="2:20" x14ac:dyDescent="0.2">
      <c r="B66" s="31"/>
      <c r="C66" s="3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4"/>
    </row>
  </sheetData>
  <sheetProtection algorithmName="SHA-512" hashValue="1qHwEetsKAAoIRDnWpdenu43KnoByBIg7X7S/bBC09ZwOMjBMDk0XPojcG8TccqtySOexUk0rGkkv+SvkoKFyw==" saltValue="c4FF9TQrBzLNDtPIPSRGZA==" spinCount="100000" sheet="1" objects="1" scenarios="1" selectLockedCells="1"/>
  <mergeCells count="82">
    <mergeCell ref="N34:N35"/>
    <mergeCell ref="O32:O33"/>
    <mergeCell ref="O34:O35"/>
    <mergeCell ref="E4:J4"/>
    <mergeCell ref="E5:J5"/>
    <mergeCell ref="E8:J8"/>
    <mergeCell ref="E7:J7"/>
    <mergeCell ref="M4:S5"/>
    <mergeCell ref="M7:S7"/>
    <mergeCell ref="P32:P33"/>
    <mergeCell ref="F24:F25"/>
    <mergeCell ref="E18:E19"/>
    <mergeCell ref="F30:F31"/>
    <mergeCell ref="E30:E31"/>
    <mergeCell ref="F29:T29"/>
    <mergeCell ref="G18:K18"/>
    <mergeCell ref="B34:C34"/>
    <mergeCell ref="B35:C35"/>
    <mergeCell ref="J32:J33"/>
    <mergeCell ref="G34:G35"/>
    <mergeCell ref="H34:H35"/>
    <mergeCell ref="I34:I35"/>
    <mergeCell ref="J34:J35"/>
    <mergeCell ref="G32:G33"/>
    <mergeCell ref="H32:H33"/>
    <mergeCell ref="I32:I33"/>
    <mergeCell ref="E34:E35"/>
    <mergeCell ref="F34:F35"/>
    <mergeCell ref="E32:E33"/>
    <mergeCell ref="F32:F33"/>
    <mergeCell ref="B32:C32"/>
    <mergeCell ref="B33:C33"/>
    <mergeCell ref="T32:T33"/>
    <mergeCell ref="S32:S33"/>
    <mergeCell ref="S34:S35"/>
    <mergeCell ref="T34:T35"/>
    <mergeCell ref="G30:K30"/>
    <mergeCell ref="M30:T30"/>
    <mergeCell ref="K32:K33"/>
    <mergeCell ref="K34:K35"/>
    <mergeCell ref="Q34:Q35"/>
    <mergeCell ref="R32:R33"/>
    <mergeCell ref="R34:R35"/>
    <mergeCell ref="M32:M33"/>
    <mergeCell ref="P34:P35"/>
    <mergeCell ref="Q32:Q33"/>
    <mergeCell ref="M34:M35"/>
    <mergeCell ref="N32:N33"/>
    <mergeCell ref="G24:K24"/>
    <mergeCell ref="M18:T18"/>
    <mergeCell ref="M24:T24"/>
    <mergeCell ref="B30:C30"/>
    <mergeCell ref="B31:C31"/>
    <mergeCell ref="B28:C28"/>
    <mergeCell ref="B29:C29"/>
    <mergeCell ref="B26:C26"/>
    <mergeCell ref="B27:C27"/>
    <mergeCell ref="E24:E25"/>
    <mergeCell ref="G10:H10"/>
    <mergeCell ref="E12:F12"/>
    <mergeCell ref="E14:F14"/>
    <mergeCell ref="F17:T17"/>
    <mergeCell ref="F23:T23"/>
    <mergeCell ref="O8:Q14"/>
    <mergeCell ref="M15:S15"/>
    <mergeCell ref="H12:J12"/>
    <mergeCell ref="F18:F19"/>
    <mergeCell ref="B4:C4"/>
    <mergeCell ref="B5:C5"/>
    <mergeCell ref="B10:C10"/>
    <mergeCell ref="B7:C7"/>
    <mergeCell ref="B14:C14"/>
    <mergeCell ref="B8:C8"/>
    <mergeCell ref="B11:C11"/>
    <mergeCell ref="B12:C12"/>
    <mergeCell ref="B13:C13"/>
    <mergeCell ref="B15:C15"/>
    <mergeCell ref="B20:C20"/>
    <mergeCell ref="B23:C23"/>
    <mergeCell ref="B17:C17"/>
    <mergeCell ref="B18:C18"/>
    <mergeCell ref="B21:C21"/>
  </mergeCells>
  <conditionalFormatting sqref="B13">
    <cfRule type="expression" dxfId="9" priority="41">
      <formula>$B$11="Location"</formula>
    </cfRule>
  </conditionalFormatting>
  <conditionalFormatting sqref="B15">
    <cfRule type="expression" dxfId="8" priority="69" stopIfTrue="1">
      <formula>OR($E$29,$B$11="Location")</formula>
    </cfRule>
  </conditionalFormatting>
  <conditionalFormatting sqref="B25">
    <cfRule type="expression" dxfId="7" priority="5" stopIfTrue="1">
      <formula>OR(AND($B$11="Location",$B$18="Oui"),$E$29)</formula>
    </cfRule>
  </conditionalFormatting>
  <conditionalFormatting sqref="B31">
    <cfRule type="expression" dxfId="6" priority="1" stopIfTrue="1">
      <formula>AND(Carburant="Oui",OR(DepReelles,ForfaitMixte,Mode="Location"),Motorisation="Hybride rechargeable")</formula>
    </cfRule>
  </conditionalFormatting>
  <conditionalFormatting sqref="B27:C27 B29:C29">
    <cfRule type="expression" dxfId="5" priority="2">
      <formula>AND(Carburant="Oui",OR(DepReelles,ForfaitMixte,Mode="Location"),Motorisation&lt;&gt;"Electrique éco-scorée",Motorisation&lt;&gt;"Electrique")</formula>
    </cfRule>
  </conditionalFormatting>
  <conditionalFormatting sqref="B33:C33 B35:C35">
    <cfRule type="expression" dxfId="4" priority="4">
      <formula>AND(Carburant="Oui",OR(DepReelles,ForfaitMixte,Mode="Location"),Motorisation="Hybride rechargeable")</formula>
    </cfRule>
  </conditionalFormatting>
  <conditionalFormatting sqref="C25">
    <cfRule type="expression" dxfId="3" priority="3">
      <formula>OR(AND(Carburant="Oui",ForfaitMixte,Motorisation&lt;&gt;"Electrique éco-scorée"),Mode="Location",DepReelles)</formula>
    </cfRule>
  </conditionalFormatting>
  <conditionalFormatting sqref="G12">
    <cfRule type="expression" dxfId="2" priority="7">
      <formula>Calcul="Coût pour l'utilisateur"</formula>
    </cfRule>
  </conditionalFormatting>
  <conditionalFormatting sqref="G14">
    <cfRule type="expression" dxfId="1" priority="8">
      <formula>Calcul="Coût pour l'entreprise"</formula>
    </cfRule>
  </conditionalFormatting>
  <conditionalFormatting sqref="G20:G21 G26:G27 G32:G35">
    <cfRule type="colorScale" priority="11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H20:H21 H26:H27 H32:H35">
    <cfRule type="colorScale" priority="10">
      <colorScale>
        <cfvo type="min"/>
        <cfvo type="percent" val="50"/>
        <cfvo type="max"/>
        <color rgb="FFFF0000"/>
        <color rgb="FFFFC000"/>
        <color rgb="FF00B050"/>
      </colorScale>
    </cfRule>
  </conditionalFormatting>
  <conditionalFormatting sqref="I20:I21 I26:I27 I32:I35">
    <cfRule type="colorScale" priority="9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J20:J21 J26:J27 J32:J35">
    <cfRule type="colorScale" priority="12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K12">
    <cfRule type="expression" dxfId="0" priority="6">
      <formula>Calcul="Coût pour l'utilisateur"</formula>
    </cfRule>
  </conditionalFormatting>
  <conditionalFormatting sqref="K20:K21 K26:K27 K32:K35">
    <cfRule type="colorScale" priority="13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M20:M21 M26:M27 M32:M35">
    <cfRule type="colorScale" priority="25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N20:N21 N26:N27 N32:N35">
    <cfRule type="colorScale" priority="24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O20:O21 O26:O27 O32:O35">
    <cfRule type="colorScale" priority="23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P20:P21 P26:P27 P32:P35">
    <cfRule type="colorScale" priority="19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Q20:Q21 Q26:Q27 Q32:Q35">
    <cfRule type="colorScale" priority="18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R20:R21 R26:R27 R32:R35">
    <cfRule type="colorScale" priority="17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S20:S21 S26:S27 S32:S35">
    <cfRule type="colorScale" priority="16">
      <colorScale>
        <cfvo type="min"/>
        <cfvo type="percent" val="50"/>
        <cfvo type="max"/>
        <color rgb="FF00B050"/>
        <color rgb="FFFFC000"/>
        <color rgb="FFFF0000"/>
      </colorScale>
    </cfRule>
  </conditionalFormatting>
  <conditionalFormatting sqref="T20:T21 T26:T27 T32:T35">
    <cfRule type="colorScale" priority="15">
      <colorScale>
        <cfvo type="min"/>
        <cfvo type="percent" val="50"/>
        <cfvo type="max"/>
        <color rgb="FF00B050"/>
        <color rgb="FFFFC000"/>
        <color rgb="FFFF0000"/>
      </colorScale>
    </cfRule>
  </conditionalFormatting>
  <dataValidations count="6">
    <dataValidation type="list" allowBlank="1" showInputMessage="1" showErrorMessage="1" sqref="B8:C8" xr:uid="{3E386C08-763A-FB42-87E8-7F8B0632DEC9}">
      <formula1>$W$4:$W$5</formula1>
    </dataValidation>
    <dataValidation type="list" allowBlank="1" showInputMessage="1" showErrorMessage="1" sqref="B11:C11" xr:uid="{A35BBBEF-C321-DD44-96DC-345E1D550635}">
      <formula1>$X$4:$X$5</formula1>
    </dataValidation>
    <dataValidation type="list" allowBlank="1" showInputMessage="1" showErrorMessage="1" sqref="B18:C18" xr:uid="{AA0155C8-8BFF-2D4F-9A80-D7678CBD1AA4}">
      <formula1>$V$4:$V$5</formula1>
    </dataValidation>
    <dataValidation type="list" allowBlank="1" showInputMessage="1" showErrorMessage="1" sqref="B21:C21" xr:uid="{138EEA5A-F5BA-964C-9A61-791DE0BB7714}">
      <formula1>$Y$4:$Y$7</formula1>
    </dataValidation>
    <dataValidation type="list" allowBlank="1" showInputMessage="1" showErrorMessage="1" sqref="G10" xr:uid="{C094C706-8802-3F4C-B105-595DDA80AB28}">
      <formula1>$Y$24:$Y$26</formula1>
    </dataValidation>
    <dataValidation type="list" allowBlank="1" showInputMessage="1" showErrorMessage="1" sqref="K12" xr:uid="{8F69D6B8-CE2C-E743-9748-08E50EF5177F}">
      <formula1>$X$24:$X$28</formula1>
    </dataValidation>
  </dataValidations>
  <hyperlinks>
    <hyperlink ref="O8" r:id="rId1" display="https://www.tco-scan.com/" xr:uid="{EFB70F97-674B-9E4D-9795-F98A8723BFAB}"/>
  </hyperlinks>
  <pageMargins left="0.75" right="0.75" top="1" bottom="1" header="0.5" footer="0.5"/>
  <pageSetup paperSize="9" scale="4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62</vt:i4>
      </vt:variant>
    </vt:vector>
  </HeadingPairs>
  <TitlesOfParts>
    <vt:vector size="63" baseType="lpstr">
      <vt:lpstr>Avantage en nature</vt:lpstr>
      <vt:lpstr>AbatDepReel</vt:lpstr>
      <vt:lpstr>AbatDepReelPour100</vt:lpstr>
      <vt:lpstr>AbatForfait</vt:lpstr>
      <vt:lpstr>AbatForfaitPour100</vt:lpstr>
      <vt:lpstr>Age</vt:lpstr>
      <vt:lpstr>AnneeDebut</vt:lpstr>
      <vt:lpstr>Calcul</vt:lpstr>
      <vt:lpstr>CarbuPerso</vt:lpstr>
      <vt:lpstr>Carburant</vt:lpstr>
      <vt:lpstr>CarbuTot</vt:lpstr>
      <vt:lpstr>ConsoElec</vt:lpstr>
      <vt:lpstr>ConsoTherm</vt:lpstr>
      <vt:lpstr>DateDebut</vt:lpstr>
      <vt:lpstr>DateFin</vt:lpstr>
      <vt:lpstr>Ddd</vt:lpstr>
      <vt:lpstr>DepReelles</vt:lpstr>
      <vt:lpstr>DureeUtilisation</vt:lpstr>
      <vt:lpstr>Entretien</vt:lpstr>
      <vt:lpstr>Forfait</vt:lpstr>
      <vt:lpstr>Forfait2024</vt:lpstr>
      <vt:lpstr>Forfait2025</vt:lpstr>
      <vt:lpstr>ForfaitCabu2024</vt:lpstr>
      <vt:lpstr>ForfaitCarbu</vt:lpstr>
      <vt:lpstr>ForfaitCarbu2024</vt:lpstr>
      <vt:lpstr>ForfaitCarbu2025</vt:lpstr>
      <vt:lpstr>ForfaitCarbuPlus52024</vt:lpstr>
      <vt:lpstr>ForfaitCarbuPlus52025</vt:lpstr>
      <vt:lpstr>ForfaitDepReel</vt:lpstr>
      <vt:lpstr>ForfaitDepReel2024</vt:lpstr>
      <vt:lpstr>ForfaitDepReel2025</vt:lpstr>
      <vt:lpstr>ForfaitDepReelPlus52024</vt:lpstr>
      <vt:lpstr>ForfaitDepReelPlus52025</vt:lpstr>
      <vt:lpstr>ForfaitIntegral</vt:lpstr>
      <vt:lpstr>ForfaitLoc</vt:lpstr>
      <vt:lpstr>ForfaitLoc2024</vt:lpstr>
      <vt:lpstr>ForfaitLoc2025</vt:lpstr>
      <vt:lpstr>ForfaitLocCarbu</vt:lpstr>
      <vt:lpstr>ForfaitLocCarbu2024</vt:lpstr>
      <vt:lpstr>ForfaitLocCarbu2025</vt:lpstr>
      <vt:lpstr>ForfaitMixte</vt:lpstr>
      <vt:lpstr>ForfaitPlus52024</vt:lpstr>
      <vt:lpstr>ForfaitPlus52025</vt:lpstr>
      <vt:lpstr>KmPerso</vt:lpstr>
      <vt:lpstr>KmPro</vt:lpstr>
      <vt:lpstr>Location</vt:lpstr>
      <vt:lpstr>MarjCarbu</vt:lpstr>
      <vt:lpstr>Mode</vt:lpstr>
      <vt:lpstr>MoisDebut</vt:lpstr>
      <vt:lpstr>Motorisation</vt:lpstr>
      <vt:lpstr>NbJourMoisDebut</vt:lpstr>
      <vt:lpstr>PourQui</vt:lpstr>
      <vt:lpstr>Prix</vt:lpstr>
      <vt:lpstr>PrixElec</vt:lpstr>
      <vt:lpstr>PrixElecHT</vt:lpstr>
      <vt:lpstr>PrixTherm</vt:lpstr>
      <vt:lpstr>PrixThermHT</vt:lpstr>
      <vt:lpstr>TauxChargesPatronales</vt:lpstr>
      <vt:lpstr>TauxChargesSalariales</vt:lpstr>
      <vt:lpstr>TauxMarginalImposition</vt:lpstr>
      <vt:lpstr>TauxUtilisateur</vt:lpstr>
      <vt:lpstr>UtilTherm</vt:lpstr>
      <vt:lpstr>'Avantage en nature'!Zone_d_impression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Xavier MARTIN SAINT LEON</cp:lastModifiedBy>
  <cp:lastPrinted>2025-04-02T20:13:14Z</cp:lastPrinted>
  <dcterms:created xsi:type="dcterms:W3CDTF">2025-03-29T16:48:03Z</dcterms:created>
  <dcterms:modified xsi:type="dcterms:W3CDTF">2025-06-05T10:54:12Z</dcterms:modified>
</cp:coreProperties>
</file>